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sep\PycharmProjects\CapstoneProject\Dictionaries\"/>
    </mc:Choice>
  </mc:AlternateContent>
  <xr:revisionPtr revIDLastSave="0" documentId="13_ncr:1_{934C1C82-5010-4179-8E7F-F3D70DC2B5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tegrated Oil Fin &amp; Econ (En)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7CmDpOkWsas24wTJqoM9SeJ0lxVSVHorMkU1C+FrEg="/>
    </ext>
  </extLst>
</workbook>
</file>

<file path=xl/calcChain.xml><?xml version="1.0" encoding="utf-8"?>
<calcChain xmlns="http://schemas.openxmlformats.org/spreadsheetml/2006/main">
  <c r="B1377" i="1" l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<sst xmlns="http://schemas.openxmlformats.org/spreadsheetml/2006/main" count="10889" uniqueCount="4965">
  <si>
    <t>Term</t>
  </si>
  <si>
    <t>French Translation</t>
  </si>
  <si>
    <t>ENI</t>
  </si>
  <si>
    <t>OilProcessing</t>
  </si>
  <si>
    <t>TNKBP</t>
  </si>
  <si>
    <t>Commodity</t>
  </si>
  <si>
    <t>Indonesia</t>
  </si>
  <si>
    <t>ClosedClass</t>
  </si>
  <si>
    <t>LNOC</t>
  </si>
  <si>
    <t>France</t>
  </si>
  <si>
    <t>Economics</t>
  </si>
  <si>
    <t>Shell</t>
  </si>
  <si>
    <t>SKEnergy</t>
  </si>
  <si>
    <t>F_India</t>
  </si>
  <si>
    <t>FinInstrument</t>
  </si>
  <si>
    <t>OilProduct</t>
  </si>
  <si>
    <t>Ecopetrol</t>
  </si>
  <si>
    <t>Chevron</t>
  </si>
  <si>
    <t>Entry</t>
  </si>
  <si>
    <t>Novoil</t>
  </si>
  <si>
    <t>SirteOIl</t>
  </si>
  <si>
    <t>BRIC</t>
  </si>
  <si>
    <t>ShellPEM</t>
  </si>
  <si>
    <t>UK</t>
  </si>
  <si>
    <t>Sinopec</t>
  </si>
  <si>
    <t>GazpromNeft</t>
  </si>
  <si>
    <t>Sunoco</t>
  </si>
  <si>
    <t>Mexico</t>
  </si>
  <si>
    <t>Canada</t>
  </si>
  <si>
    <t>F_Australia</t>
  </si>
  <si>
    <t>CPC</t>
  </si>
  <si>
    <t>Reliance</t>
  </si>
  <si>
    <t>F_Aus</t>
  </si>
  <si>
    <t>F_Mexico</t>
  </si>
  <si>
    <t>F_SU</t>
  </si>
  <si>
    <t>F_Europe</t>
  </si>
  <si>
    <t>IOC</t>
  </si>
  <si>
    <t>F_KSA</t>
  </si>
  <si>
    <t>Crisis</t>
  </si>
  <si>
    <t>Marathon</t>
  </si>
  <si>
    <t>Colombia</t>
  </si>
  <si>
    <t>G8</t>
  </si>
  <si>
    <t>F_Brazil</t>
  </si>
  <si>
    <t>F_Azerbaijan</t>
  </si>
  <si>
    <t>F_OPEC</t>
  </si>
  <si>
    <t>Saras</t>
  </si>
  <si>
    <t>Valero</t>
  </si>
  <si>
    <t>F_Colombia</t>
  </si>
  <si>
    <t>Exploration</t>
  </si>
  <si>
    <t>Investment</t>
  </si>
  <si>
    <t>Hovensa</t>
  </si>
  <si>
    <t>F_Norway</t>
  </si>
  <si>
    <t>Exxon</t>
  </si>
  <si>
    <t>KNPC</t>
  </si>
  <si>
    <t>F_Iraq</t>
  </si>
  <si>
    <t>Refinery</t>
  </si>
  <si>
    <t>HessCorp</t>
  </si>
  <si>
    <t>F_Russia</t>
  </si>
  <si>
    <t>USA</t>
  </si>
  <si>
    <t>F_Venezuela</t>
  </si>
  <si>
    <t>F_Iran</t>
  </si>
  <si>
    <t>Russia</t>
  </si>
  <si>
    <t>Aramco</t>
  </si>
  <si>
    <t>Germany</t>
  </si>
  <si>
    <t>IrvingOi</t>
  </si>
  <si>
    <t>Total</t>
  </si>
  <si>
    <t>Japan</t>
  </si>
  <si>
    <t>Essar</t>
  </si>
  <si>
    <t>F_ME</t>
  </si>
  <si>
    <t>Iran</t>
  </si>
  <si>
    <t>Taiwan</t>
  </si>
  <si>
    <t>Rosneft</t>
  </si>
  <si>
    <t>F_BRIC</t>
  </si>
  <si>
    <t>F_Algeria</t>
  </si>
  <si>
    <t>Ukraine</t>
  </si>
  <si>
    <t>CRP</t>
  </si>
  <si>
    <t>NIOC</t>
  </si>
  <si>
    <t>F_Kazakhstan</t>
  </si>
  <si>
    <t>F_Canada</t>
  </si>
  <si>
    <t>GSCaltex</t>
  </si>
  <si>
    <t>F_UK</t>
  </si>
  <si>
    <t>VirginIslands</t>
  </si>
  <si>
    <t>Iraq</t>
  </si>
  <si>
    <t>Italy</t>
  </si>
  <si>
    <t>India</t>
  </si>
  <si>
    <t>F_Bahrain</t>
  </si>
  <si>
    <t>FiftyThou</t>
  </si>
  <si>
    <t>OPEC</t>
  </si>
  <si>
    <t>F_UAE</t>
  </si>
  <si>
    <t>AGOCO</t>
  </si>
  <si>
    <t>ConocoPhillips</t>
  </si>
  <si>
    <t>Kuwait</t>
  </si>
  <si>
    <t>F_Qatar</t>
  </si>
  <si>
    <t>Finance</t>
  </si>
  <si>
    <t>OilGas</t>
  </si>
  <si>
    <t>NNPC</t>
  </si>
  <si>
    <t>SouthKorea</t>
  </si>
  <si>
    <t>WTI</t>
  </si>
  <si>
    <t>Libya</t>
  </si>
  <si>
    <t>KSA</t>
  </si>
  <si>
    <t>F_Pakistan</t>
  </si>
  <si>
    <t>Brazil</t>
  </si>
  <si>
    <t>Venezuela</t>
  </si>
  <si>
    <t>HalfMillion</t>
  </si>
  <si>
    <t>Nigeria</t>
  </si>
  <si>
    <t>Field</t>
  </si>
  <si>
    <t>PEMEX</t>
  </si>
  <si>
    <t>F_NorAm</t>
  </si>
  <si>
    <t>Citgo</t>
  </si>
  <si>
    <t>F_China</t>
  </si>
  <si>
    <t>Surgutneftegas</t>
  </si>
  <si>
    <t>HundredThou</t>
  </si>
  <si>
    <t>F_USA</t>
  </si>
  <si>
    <t>F_Asia</t>
  </si>
  <si>
    <t>F_Libya</t>
  </si>
  <si>
    <t>Pertamina</t>
  </si>
  <si>
    <t>FlintHills</t>
  </si>
  <si>
    <t>SOil</t>
  </si>
  <si>
    <t>INOC</t>
  </si>
  <si>
    <t>BP</t>
  </si>
  <si>
    <t>Australia</t>
  </si>
  <si>
    <t>Company</t>
  </si>
  <si>
    <t>Netherlands</t>
  </si>
  <si>
    <t>China</t>
  </si>
  <si>
    <t>F_Kuwait</t>
  </si>
  <si>
    <t>Petrobras</t>
  </si>
  <si>
    <t>PetroChina</t>
  </si>
  <si>
    <t>Texaco</t>
  </si>
  <si>
    <t>F_Nigeria</t>
  </si>
  <si>
    <t>QuarterMillion</t>
  </si>
  <si>
    <t>Million</t>
  </si>
  <si>
    <t>Brent</t>
  </si>
  <si>
    <t>NipponOil</t>
  </si>
  <si>
    <t>Risk</t>
  </si>
  <si>
    <t>F_SouAm</t>
  </si>
  <si>
    <t>Energy</t>
  </si>
  <si>
    <t>Belgium</t>
  </si>
  <si>
    <t>Singapore</t>
  </si>
  <si>
    <t>G20</t>
  </si>
  <si>
    <t>CrudeOil</t>
  </si>
  <si>
    <t>SuperMajors</t>
  </si>
  <si>
    <t>F_Oman</t>
  </si>
  <si>
    <t>F_Africa</t>
  </si>
  <si>
    <t>F_Angola</t>
  </si>
  <si>
    <t>a</t>
  </si>
  <si>
    <t>abadan refinery</t>
  </si>
  <si>
    <t>ABANDON</t>
  </si>
  <si>
    <t>ABANDONED</t>
  </si>
  <si>
    <t>ABANDONING</t>
  </si>
  <si>
    <t>ABANDONMENT</t>
  </si>
  <si>
    <t>ABANDONMENTS</t>
  </si>
  <si>
    <t>ABANDONS</t>
  </si>
  <si>
    <t>ABDICATED</t>
  </si>
  <si>
    <t>ABDICATES</t>
  </si>
  <si>
    <t>ABDICATING</t>
  </si>
  <si>
    <t>ABDICATION</t>
  </si>
  <si>
    <t>ABDICATIONS</t>
  </si>
  <si>
    <t>ABERRANT</t>
  </si>
  <si>
    <t>ABERRATION</t>
  </si>
  <si>
    <t>ABERRATIONAL</t>
  </si>
  <si>
    <t>ABERRATIONS</t>
  </si>
  <si>
    <t>ABETTING</t>
  </si>
  <si>
    <t>ABLE</t>
  </si>
  <si>
    <t>ABNORMAL</t>
  </si>
  <si>
    <t>ABNORMALITIES</t>
  </si>
  <si>
    <t>ABNORMALITY</t>
  </si>
  <si>
    <t>ABNORMALLY</t>
  </si>
  <si>
    <t>ABOLISH</t>
  </si>
  <si>
    <t>ABOLISHED</t>
  </si>
  <si>
    <t>ABOLISHES</t>
  </si>
  <si>
    <t>ABOLISHING</t>
  </si>
  <si>
    <t>about</t>
  </si>
  <si>
    <t>above</t>
  </si>
  <si>
    <t>abqaiq</t>
  </si>
  <si>
    <t>ABROGATE</t>
  </si>
  <si>
    <t>ABROGATED</t>
  </si>
  <si>
    <t>ABROGATES</t>
  </si>
  <si>
    <t>ABROGATING</t>
  </si>
  <si>
    <t>ABROGATION</t>
  </si>
  <si>
    <t>ABROGATIONS</t>
  </si>
  <si>
    <t>ABRUPT</t>
  </si>
  <si>
    <t>ABRUPTLY</t>
  </si>
  <si>
    <t>ABRUPTNESS</t>
  </si>
  <si>
    <t>ABSENCE</t>
  </si>
  <si>
    <t>ABSENCES</t>
  </si>
  <si>
    <t>ABSENTEEISM</t>
  </si>
  <si>
    <t>absolute advantage</t>
  </si>
  <si>
    <t>Abu Bukhoosh</t>
  </si>
  <si>
    <t>ABUNDANCE</t>
  </si>
  <si>
    <t>ABUNDANT</t>
  </si>
  <si>
    <t>abu-sa'fah</t>
  </si>
  <si>
    <t>ABUSE</t>
  </si>
  <si>
    <t>ABUSED</t>
  </si>
  <si>
    <t>ABUSES</t>
  </si>
  <si>
    <t>ABUSING</t>
  </si>
  <si>
    <t>ABUSIVE</t>
  </si>
  <si>
    <t>ABUSIVELY</t>
  </si>
  <si>
    <t>ABUSIVENESS</t>
  </si>
  <si>
    <t>ACCIDENT</t>
  </si>
  <si>
    <t>ACCIDENTAL</t>
  </si>
  <si>
    <t>ACCIDENTALLY</t>
  </si>
  <si>
    <t>ACCIDENTS</t>
  </si>
  <si>
    <t>ACCLAIMED</t>
  </si>
  <si>
    <t>accommodative monetary policy</t>
  </si>
  <si>
    <t>ACCOMPLISH</t>
  </si>
  <si>
    <t>ACCOMPLISHED</t>
  </si>
  <si>
    <t>ACCOMPLISHES</t>
  </si>
  <si>
    <t>ACCOMPLISHING</t>
  </si>
  <si>
    <t>ACCOMPLISHMENT</t>
  </si>
  <si>
    <t>ACCOMPLISHMENTS</t>
  </si>
  <si>
    <t>accounts payable</t>
  </si>
  <si>
    <t>accounts receivable</t>
  </si>
  <si>
    <t>accrued expenses</t>
  </si>
  <si>
    <t>accumulated depreciation</t>
  </si>
  <si>
    <t>ACCUSATION</t>
  </si>
  <si>
    <t>ACCUSATIONS</t>
  </si>
  <si>
    <t>ACCUSE</t>
  </si>
  <si>
    <t>ACCUSED</t>
  </si>
  <si>
    <t>ACCUSES</t>
  </si>
  <si>
    <t>ACCUSING</t>
  </si>
  <si>
    <t>ACHIEVE</t>
  </si>
  <si>
    <t>ACHIEVED</t>
  </si>
  <si>
    <t>ACHIEVEMENT</t>
  </si>
  <si>
    <t>ACHIEVEMENTS</t>
  </si>
  <si>
    <t>ACHIEVES</t>
  </si>
  <si>
    <t>ACHIEVING</t>
  </si>
  <si>
    <t>Acid Gas</t>
  </si>
  <si>
    <t>Acid stimulation</t>
  </si>
  <si>
    <t>acid test ratio</t>
  </si>
  <si>
    <t>Acoustic log</t>
  </si>
  <si>
    <t>ACQUIESCE</t>
  </si>
  <si>
    <t>ACQUIESCED</t>
  </si>
  <si>
    <t>ACQUIESCES</t>
  </si>
  <si>
    <t>ACQUIESCING</t>
  </si>
  <si>
    <t>acquisition cost</t>
  </si>
  <si>
    <t>ACQUIT</t>
  </si>
  <si>
    <t>ACQUITS</t>
  </si>
  <si>
    <t>ACQUITTAL</t>
  </si>
  <si>
    <t>ACQUITTALS</t>
  </si>
  <si>
    <t>ACQUITTED</t>
  </si>
  <si>
    <t>ACQUITTING</t>
  </si>
  <si>
    <t>actuals</t>
  </si>
  <si>
    <t>actuarial evaluation</t>
  </si>
  <si>
    <t>additional paid-in capital</t>
  </si>
  <si>
    <t xml:space="preserve">Additive </t>
  </si>
  <si>
    <t>ADEQUATELY</t>
  </si>
  <si>
    <t>ADULTERATE</t>
  </si>
  <si>
    <t>ADULTERATED</t>
  </si>
  <si>
    <t>ADULTERATING</t>
  </si>
  <si>
    <t>ADULTERATION</t>
  </si>
  <si>
    <t>ADULTERATIONS</t>
  </si>
  <si>
    <t>ADVANCEMENT</t>
  </si>
  <si>
    <t>ADVANCEMENTS</t>
  </si>
  <si>
    <t>ADVANCES</t>
  </si>
  <si>
    <t>ADVANCING</t>
  </si>
  <si>
    <t>ADVANTAGE</t>
  </si>
  <si>
    <t>ADVANTAGED</t>
  </si>
  <si>
    <t>ADVANTAGEOUS</t>
  </si>
  <si>
    <t>ADVANTAGEOUSLY</t>
  </si>
  <si>
    <t>ADVANTAGES</t>
  </si>
  <si>
    <t>ADVERSARIAL</t>
  </si>
  <si>
    <t>ADVERSARIES</t>
  </si>
  <si>
    <t>ADVERSARY</t>
  </si>
  <si>
    <t>ADVERSE</t>
  </si>
  <si>
    <t>ADVERSELY</t>
  </si>
  <si>
    <t>ADVERSITIES</t>
  </si>
  <si>
    <t>ADVERSITY</t>
  </si>
  <si>
    <t>Aero-magnetic surveys</t>
  </si>
  <si>
    <t>affiliated chains</t>
  </si>
  <si>
    <t>affiliated wholesalers</t>
  </si>
  <si>
    <t>after</t>
  </si>
  <si>
    <t>after tax income</t>
  </si>
  <si>
    <t>AFTERMATH</t>
  </si>
  <si>
    <t>AFTERMATHS</t>
  </si>
  <si>
    <t>AGAINST</t>
  </si>
  <si>
    <t>agbami</t>
  </si>
  <si>
    <t>agency theory</t>
  </si>
  <si>
    <t>AGGRAVATE</t>
  </si>
  <si>
    <t>AGGRAVATED</t>
  </si>
  <si>
    <t>AGGRAVATES</t>
  </si>
  <si>
    <t>AGGRAVATING</t>
  </si>
  <si>
    <t>AGGRAVATION</t>
  </si>
  <si>
    <t>AGGRAVATIONS</t>
  </si>
  <si>
    <t>aggregate demand</t>
  </si>
  <si>
    <t>aggregate demand curve</t>
  </si>
  <si>
    <t>aggregate supply</t>
  </si>
  <si>
    <t>aggregate supply curve</t>
  </si>
  <si>
    <t>agha jari</t>
  </si>
  <si>
    <t>agoco</t>
  </si>
  <si>
    <t>ahead</t>
  </si>
  <si>
    <t>ahvaz</t>
  </si>
  <si>
    <t>ahwaz</t>
  </si>
  <si>
    <t>aig</t>
  </si>
  <si>
    <t>Air gun</t>
  </si>
  <si>
    <t>Air injection</t>
  </si>
  <si>
    <t>Aktobe</t>
  </si>
  <si>
    <t>al</t>
  </si>
  <si>
    <t>Al Shaheen</t>
  </si>
  <si>
    <t>alan greenspan</t>
  </si>
  <si>
    <t>Alaska North Slope</t>
  </si>
  <si>
    <t>Alba</t>
  </si>
  <si>
    <t>Albian Heavy</t>
  </si>
  <si>
    <t>ALERTED</t>
  </si>
  <si>
    <t>ALERTING</t>
  </si>
  <si>
    <t>Algerian Condensate</t>
  </si>
  <si>
    <t>ALIENATE</t>
  </si>
  <si>
    <t>ALIENATED</t>
  </si>
  <si>
    <t>ALIENATES</t>
  </si>
  <si>
    <t>ALIENATING</t>
  </si>
  <si>
    <t>ALIENATION</t>
  </si>
  <si>
    <t>ALIENATIONS</t>
  </si>
  <si>
    <t>Al-Jurf</t>
  </si>
  <si>
    <t>all</t>
  </si>
  <si>
    <t>ALLEGATION</t>
  </si>
  <si>
    <t>ALLEGATIONS</t>
  </si>
  <si>
    <t>ALLEGE</t>
  </si>
  <si>
    <t>ALLEGED</t>
  </si>
  <si>
    <t>ALLEGEDLY</t>
  </si>
  <si>
    <t>ALLEGES</t>
  </si>
  <si>
    <t>ALLEGING</t>
  </si>
  <si>
    <t>ALLIANCE</t>
  </si>
  <si>
    <t>ALLIANCES</t>
  </si>
  <si>
    <t>allocation efficiency</t>
  </si>
  <si>
    <t>allowance</t>
  </si>
  <si>
    <t>alpine</t>
  </si>
  <si>
    <t>also</t>
  </si>
  <si>
    <t>although</t>
  </si>
  <si>
    <t>am</t>
  </si>
  <si>
    <t>Amenam Blend</t>
  </si>
  <si>
    <t>american recovery &amp; reinvestment act (arra)</t>
  </si>
  <si>
    <t>Ameriven-Hamaca</t>
  </si>
  <si>
    <t>Amna</t>
  </si>
  <si>
    <t>among</t>
  </si>
  <si>
    <t>amortization</t>
  </si>
  <si>
    <t>an</t>
  </si>
  <si>
    <t>Anasuria</t>
  </si>
  <si>
    <t>and</t>
  </si>
  <si>
    <t>angarsk petrochemical refinery</t>
  </si>
  <si>
    <t>animal spirits</t>
  </si>
  <si>
    <t>ANNOY</t>
  </si>
  <si>
    <t>ANNOYANCE</t>
  </si>
  <si>
    <t>ANNOYANCES</t>
  </si>
  <si>
    <t>ANNOYED</t>
  </si>
  <si>
    <t>ANNOYING</t>
  </si>
  <si>
    <t>ANNOYS</t>
  </si>
  <si>
    <t>ANNUL</t>
  </si>
  <si>
    <t>ANNULLED</t>
  </si>
  <si>
    <t>ANNULLING</t>
  </si>
  <si>
    <t>ANNULMENT</t>
  </si>
  <si>
    <t>ANNULMENTS</t>
  </si>
  <si>
    <t>ANNULS</t>
  </si>
  <si>
    <t>Annulus</t>
  </si>
  <si>
    <t>ANOMALIES</t>
  </si>
  <si>
    <t>ANOMALOUS</t>
  </si>
  <si>
    <t>ANOMALOUSLY</t>
  </si>
  <si>
    <t>ANOMALY</t>
  </si>
  <si>
    <t>anqing company refinery</t>
  </si>
  <si>
    <t>Antan Blend</t>
  </si>
  <si>
    <t>ANTICOMPETITIVE</t>
  </si>
  <si>
    <t xml:space="preserve">Antifoam agent </t>
  </si>
  <si>
    <t>ANTITRUST</t>
  </si>
  <si>
    <t>antitrust laws</t>
  </si>
  <si>
    <t>antonio doval? jaime</t>
  </si>
  <si>
    <t>API Gravity</t>
  </si>
  <si>
    <t>applied economics</t>
  </si>
  <si>
    <t>Appraisal</t>
  </si>
  <si>
    <t>Appraisal drilling</t>
  </si>
  <si>
    <t>Appraisal well</t>
  </si>
  <si>
    <t>apr</t>
  </si>
  <si>
    <t>april</t>
  </si>
  <si>
    <t>Arab Extra Light</t>
  </si>
  <si>
    <t>Arab Heavy</t>
  </si>
  <si>
    <t>Arab Light</t>
  </si>
  <si>
    <t>Arab Medium</t>
  </si>
  <si>
    <t>Arab Super Light</t>
  </si>
  <si>
    <t>Arab Super Light Ardjuna</t>
  </si>
  <si>
    <t>arabian gulf oil company</t>
  </si>
  <si>
    <t>aramco</t>
  </si>
  <si>
    <t>aramco/exxon yanbu' refinery</t>
  </si>
  <si>
    <t>are</t>
  </si>
  <si>
    <t>ARGUE</t>
  </si>
  <si>
    <t>ARGUED</t>
  </si>
  <si>
    <t>ARGUING</t>
  </si>
  <si>
    <t>ARGUMENT</t>
  </si>
  <si>
    <t>ARGUMENTATIVE</t>
  </si>
  <si>
    <t>ARGUMENTS</t>
  </si>
  <si>
    <t>arlanskoye</t>
  </si>
  <si>
    <t>arm's length market</t>
  </si>
  <si>
    <t>around</t>
  </si>
  <si>
    <t>ARREARAGE</t>
  </si>
  <si>
    <t>ARREARAGES</t>
  </si>
  <si>
    <t>ARREARS</t>
  </si>
  <si>
    <t>ARREST</t>
  </si>
  <si>
    <t>ARRESTED</t>
  </si>
  <si>
    <t>ARRESTS</t>
  </si>
  <si>
    <t>Artificial lift</t>
  </si>
  <si>
    <t>ARTIFICIALLY</t>
  </si>
  <si>
    <t>arukutun-dagi</t>
  </si>
  <si>
    <t>Arun Condensate</t>
  </si>
  <si>
    <t>as</t>
  </si>
  <si>
    <t>Asgard Blend</t>
  </si>
  <si>
    <t xml:space="preserve">Ash </t>
  </si>
  <si>
    <t>Ash sulphated</t>
  </si>
  <si>
    <t>ASSAULT</t>
  </si>
  <si>
    <t>ASSAULTED</t>
  </si>
  <si>
    <t>ASSAULTING</t>
  </si>
  <si>
    <t>ASSAULTS</t>
  </si>
  <si>
    <t>ASSERTIONS</t>
  </si>
  <si>
    <t>asset</t>
  </si>
  <si>
    <t>assets</t>
  </si>
  <si>
    <t>Associated Natural Gas</t>
  </si>
  <si>
    <t>ASSURE</t>
  </si>
  <si>
    <t>ASSURED</t>
  </si>
  <si>
    <t>ASSURES</t>
  </si>
  <si>
    <t>ASSURING</t>
  </si>
  <si>
    <t>asymmetric shock</t>
  </si>
  <si>
    <t>at</t>
  </si>
  <si>
    <t>ATTAIN</t>
  </si>
  <si>
    <t>ATTAINED</t>
  </si>
  <si>
    <t>ATTAINING</t>
  </si>
  <si>
    <t>ATTAINMENT</t>
  </si>
  <si>
    <t>ATTAINMENTS</t>
  </si>
  <si>
    <t>ATTAINS</t>
  </si>
  <si>
    <t>Attaka</t>
  </si>
  <si>
    <t>ATTRACTIVE</t>
  </si>
  <si>
    <t>ATTRACTIVENESS</t>
  </si>
  <si>
    <t>ATTRITION</t>
  </si>
  <si>
    <t>aug</t>
  </si>
  <si>
    <t>august</t>
  </si>
  <si>
    <t>australia</t>
  </si>
  <si>
    <t>auto and truck sales</t>
  </si>
  <si>
    <t>automatic stabilizers</t>
  </si>
  <si>
    <t>autonomous consumption</t>
  </si>
  <si>
    <t>autonomous expenditure</t>
  </si>
  <si>
    <t>autoregressive conditional heteroskedasticity</t>
  </si>
  <si>
    <t>average annual return</t>
  </si>
  <si>
    <t>average cost</t>
  </si>
  <si>
    <t>average hourly earnings</t>
  </si>
  <si>
    <t>average workweek</t>
  </si>
  <si>
    <t>AVERSELY</t>
  </si>
  <si>
    <t>awali</t>
  </si>
  <si>
    <t>ayasheast-odoptu</t>
  </si>
  <si>
    <t>azadegan</t>
  </si>
  <si>
    <t>Azeri BTC</t>
  </si>
  <si>
    <t>Azeri Light</t>
  </si>
  <si>
    <t>azeri-chirag-guneshli</t>
  </si>
  <si>
    <t>azzubayr</t>
  </si>
  <si>
    <t>baby boomer</t>
  </si>
  <si>
    <t>Bach Ho</t>
  </si>
  <si>
    <t>Bachaquero 17</t>
  </si>
  <si>
    <t>Bachaquero 24</t>
  </si>
  <si>
    <t>back door</t>
  </si>
  <si>
    <t>back door financing</t>
  </si>
  <si>
    <t>BACKDATING</t>
  </si>
  <si>
    <t>BAD</t>
  </si>
  <si>
    <t>bad debt expense</t>
  </si>
  <si>
    <t>baiji north refinery</t>
  </si>
  <si>
    <t>BAIL</t>
  </si>
  <si>
    <t>bailout</t>
  </si>
  <si>
    <t>balance of payments</t>
  </si>
  <si>
    <t>balance of risks</t>
  </si>
  <si>
    <t>balance of trade</t>
  </si>
  <si>
    <t>balance sheet</t>
  </si>
  <si>
    <t>balance theory</t>
  </si>
  <si>
    <t>balanced budget</t>
  </si>
  <si>
    <t>Balder</t>
  </si>
  <si>
    <t>balikpapan refinery</t>
  </si>
  <si>
    <t>BALK</t>
  </si>
  <si>
    <t>BALKED</t>
  </si>
  <si>
    <t>baltic dry index</t>
  </si>
  <si>
    <t>bandar abbas oil refinery</t>
  </si>
  <si>
    <t>bank of america</t>
  </si>
  <si>
    <t>bank rate</t>
  </si>
  <si>
    <t>banking crisis</t>
  </si>
  <si>
    <t>banking supervision</t>
  </si>
  <si>
    <t>BANKRUPT</t>
  </si>
  <si>
    <t>BANKRUPTCIES</t>
  </si>
  <si>
    <t>BANKRUPTCY</t>
  </si>
  <si>
    <t>BANKRUPTED</t>
  </si>
  <si>
    <t>BANKRUPTING</t>
  </si>
  <si>
    <t>BANKRUPTS</t>
  </si>
  <si>
    <t>BANS</t>
  </si>
  <si>
    <t>Baobab</t>
  </si>
  <si>
    <t>barometer</t>
  </si>
  <si>
    <t>barrancabermeja refinery</t>
  </si>
  <si>
    <t>BARRED</t>
  </si>
  <si>
    <t>barrel</t>
  </si>
  <si>
    <t>BARRIER</t>
  </si>
  <si>
    <t>BARRIERS</t>
  </si>
  <si>
    <t>barriers to entry</t>
  </si>
  <si>
    <t>base interest rate</t>
  </si>
  <si>
    <t>base period</t>
  </si>
  <si>
    <t>baseload supply</t>
  </si>
  <si>
    <t>baseload unit</t>
  </si>
  <si>
    <t xml:space="preserve">Bases </t>
  </si>
  <si>
    <t>base-year analysis</t>
  </si>
  <si>
    <t>basic industry multiplier</t>
  </si>
  <si>
    <t>basic materials sector</t>
  </si>
  <si>
    <t>basis point</t>
  </si>
  <si>
    <t>basis risk</t>
  </si>
  <si>
    <t>basis swap</t>
  </si>
  <si>
    <t>basis trading</t>
  </si>
  <si>
    <t>basket</t>
  </si>
  <si>
    <t>basket swap</t>
  </si>
  <si>
    <t>Basrah Blend</t>
  </si>
  <si>
    <t>Basrah Light</t>
  </si>
  <si>
    <t>baton rouge refinery</t>
  </si>
  <si>
    <t>Bayou Choctaw Sour</t>
  </si>
  <si>
    <t>Bayou Choctaw Sweet</t>
  </si>
  <si>
    <t>baytown refinery</t>
  </si>
  <si>
    <t>Bayu Undan</t>
  </si>
  <si>
    <t>BCF-17</t>
  </si>
  <si>
    <t>be</t>
  </si>
  <si>
    <t>bear market</t>
  </si>
  <si>
    <t>bear spread</t>
  </si>
  <si>
    <t>bear stearns</t>
  </si>
  <si>
    <t>beaumont refinery</t>
  </si>
  <si>
    <t>BEAUTIFUL</t>
  </si>
  <si>
    <t>BEAUTIFULLY</t>
  </si>
  <si>
    <t>because</t>
  </si>
  <si>
    <t>become</t>
  </si>
  <si>
    <t>becomes</t>
  </si>
  <si>
    <t>been</t>
  </si>
  <si>
    <t>before</t>
  </si>
  <si>
    <t>behind</t>
  </si>
  <si>
    <t>beige book</t>
  </si>
  <si>
    <t>being</t>
  </si>
  <si>
    <t>Belanak</t>
  </si>
  <si>
    <t>belayim</t>
  </si>
  <si>
    <t>Belayim Blend</t>
  </si>
  <si>
    <t>Belida</t>
  </si>
  <si>
    <t>Bell nipple</t>
  </si>
  <si>
    <t>below</t>
  </si>
  <si>
    <t>ben bernanke</t>
  </si>
  <si>
    <t>Benchamas</t>
  </si>
  <si>
    <t>benchmark crude</t>
  </si>
  <si>
    <t>BENEFICIAL</t>
  </si>
  <si>
    <t>BENEFICIALLY</t>
  </si>
  <si>
    <t>BENEFIT</t>
  </si>
  <si>
    <t>BENEFITED</t>
  </si>
  <si>
    <t>BENEFITING</t>
  </si>
  <si>
    <t>benefits</t>
  </si>
  <si>
    <t>benefits charge</t>
  </si>
  <si>
    <t>BENEFITTED</t>
  </si>
  <si>
    <t>BENEFITTING</t>
  </si>
  <si>
    <t>benjamin graham</t>
  </si>
  <si>
    <t>berri</t>
  </si>
  <si>
    <t>Beryl</t>
  </si>
  <si>
    <t>BETTER</t>
  </si>
  <si>
    <t>between</t>
  </si>
  <si>
    <t>bfoe</t>
  </si>
  <si>
    <t>bid/ask</t>
  </si>
  <si>
    <t>big three</t>
  </si>
  <si>
    <t>bilateral netting</t>
  </si>
  <si>
    <t>billing demand</t>
  </si>
  <si>
    <t>binary option</t>
  </si>
  <si>
    <t>Bintulu Condensate</t>
  </si>
  <si>
    <t>Bitumen</t>
  </si>
  <si>
    <t>Bituminous Sands</t>
  </si>
  <si>
    <t>Black Oil</t>
  </si>
  <si>
    <t>black thursday</t>
  </si>
  <si>
    <t>black-scholes model</t>
  </si>
  <si>
    <t>blending</t>
  </si>
  <si>
    <t>Blow-down</t>
  </si>
  <si>
    <t>Blowout</t>
  </si>
  <si>
    <t>board of governors</t>
  </si>
  <si>
    <t>bolivar coastal</t>
  </si>
  <si>
    <t>BOLSTERED</t>
  </si>
  <si>
    <t>BOLSTERING</t>
  </si>
  <si>
    <t>BOLSTERS</t>
  </si>
  <si>
    <t>bombayhigh</t>
  </si>
  <si>
    <t>bond</t>
  </si>
  <si>
    <t>bond rating</t>
  </si>
  <si>
    <t>bonded terminal</t>
  </si>
  <si>
    <t>bonga</t>
  </si>
  <si>
    <t>Bonito Sour</t>
  </si>
  <si>
    <t>Bonny Light</t>
  </si>
  <si>
    <t>Bontang Condensate</t>
  </si>
  <si>
    <t>book out</t>
  </si>
  <si>
    <t>book transfer</t>
  </si>
  <si>
    <t>book value</t>
  </si>
  <si>
    <t>boom</t>
  </si>
  <si>
    <t>BOOM</t>
  </si>
  <si>
    <t>boom and bust cycle</t>
  </si>
  <si>
    <t>BOOMING</t>
  </si>
  <si>
    <t>BOOST</t>
  </si>
  <si>
    <t>BOOSTED</t>
  </si>
  <si>
    <t>borderline customer</t>
  </si>
  <si>
    <t>borrowed reserves</t>
  </si>
  <si>
    <t>Boscan</t>
  </si>
  <si>
    <t>boscn</t>
  </si>
  <si>
    <t>both</t>
  </si>
  <si>
    <t>BOTTLENECK</t>
  </si>
  <si>
    <t>BOTTLENECKS</t>
  </si>
  <si>
    <t>Bottom-hole assembly</t>
  </si>
  <si>
    <t>Bouri</t>
  </si>
  <si>
    <t>Bow River</t>
  </si>
  <si>
    <t>box spread</t>
  </si>
  <si>
    <t>BOYCOTT</t>
  </si>
  <si>
    <t>BOYCOTTED</t>
  </si>
  <si>
    <t>BOYCOTTING</t>
  </si>
  <si>
    <t>BOYCOTTS</t>
  </si>
  <si>
    <t>bp</t>
  </si>
  <si>
    <t>bp rotterdam refinery</t>
  </si>
  <si>
    <t>bp texas city</t>
  </si>
  <si>
    <t>Brass River</t>
  </si>
  <si>
    <t>brazil</t>
  </si>
  <si>
    <t>BREACH</t>
  </si>
  <si>
    <t>BREACHED</t>
  </si>
  <si>
    <t>BREACHES</t>
  </si>
  <si>
    <t>BREACHING</t>
  </si>
  <si>
    <t>BREAK</t>
  </si>
  <si>
    <t>BREAKAGE</t>
  </si>
  <si>
    <t>BREAKAGES</t>
  </si>
  <si>
    <t>BREAKDOWN</t>
  </si>
  <si>
    <t>BREAKDOWNS</t>
  </si>
  <si>
    <t>breakeven analysis</t>
  </si>
  <si>
    <t>breakeven point</t>
  </si>
  <si>
    <t>BREAKING</t>
  </si>
  <si>
    <t>BREAKS</t>
  </si>
  <si>
    <t>BREAKTHROUGH</t>
  </si>
  <si>
    <t>BREAKTHROUGHS</t>
  </si>
  <si>
    <t>Brega</t>
  </si>
  <si>
    <t>brent</t>
  </si>
  <si>
    <t>Brent Blend</t>
  </si>
  <si>
    <t>bretton woods agreement</t>
  </si>
  <si>
    <t>BRIBE</t>
  </si>
  <si>
    <t>BRIBED</t>
  </si>
  <si>
    <t>BRIBERIES</t>
  </si>
  <si>
    <t>BRIBERY</t>
  </si>
  <si>
    <t>BRIBES</t>
  </si>
  <si>
    <t>BRIBING</t>
  </si>
  <si>
    <t>bric</t>
  </si>
  <si>
    <t>BRIDGE</t>
  </si>
  <si>
    <t xml:space="preserve">Bright stock </t>
  </si>
  <si>
    <t>BRILLIANT</t>
  </si>
  <si>
    <t>british petroleum</t>
  </si>
  <si>
    <t>british thermal unit</t>
  </si>
  <si>
    <t>broad money</t>
  </si>
  <si>
    <t>BROKEN</t>
  </si>
  <si>
    <t>broker</t>
  </si>
  <si>
    <t>Brunei Light</t>
  </si>
  <si>
    <t>btu</t>
  </si>
  <si>
    <t>budget deficit</t>
  </si>
  <si>
    <t>budget surplus</t>
  </si>
  <si>
    <t>budgeting</t>
  </si>
  <si>
    <t>building permits</t>
  </si>
  <si>
    <t>bulk power market</t>
  </si>
  <si>
    <t>bulk power supply</t>
  </si>
  <si>
    <t>bull spread</t>
  </si>
  <si>
    <t>bundled service</t>
  </si>
  <si>
    <t>BURDEN</t>
  </si>
  <si>
    <t>BURDENED</t>
  </si>
  <si>
    <t>BURDENING</t>
  </si>
  <si>
    <t>BURDENS</t>
  </si>
  <si>
    <t>BURDENSOME</t>
  </si>
  <si>
    <t>burgan</t>
  </si>
  <si>
    <t>BURNED</t>
  </si>
  <si>
    <t>business cycle</t>
  </si>
  <si>
    <t>but</t>
  </si>
  <si>
    <t>butterfly spread</t>
  </si>
  <si>
    <t>buttonwood agreement</t>
  </si>
  <si>
    <t>buyer's market</t>
  </si>
  <si>
    <t>buyer's monopoly</t>
  </si>
  <si>
    <t>buying hedge</t>
  </si>
  <si>
    <t>buying power</t>
  </si>
  <si>
    <t>buy-through</t>
  </si>
  <si>
    <t>by</t>
  </si>
  <si>
    <t>Cabinda</t>
  </si>
  <si>
    <t>CALAMITIES</t>
  </si>
  <si>
    <t>CALAMITOUS</t>
  </si>
  <si>
    <t>CALAMITY</t>
  </si>
  <si>
    <t>calendar spread</t>
  </si>
  <si>
    <t>call option</t>
  </si>
  <si>
    <t>call spread</t>
  </si>
  <si>
    <t>callable swap</t>
  </si>
  <si>
    <t>called</t>
  </si>
  <si>
    <t>can</t>
  </si>
  <si>
    <t>canada</t>
  </si>
  <si>
    <t>Canadian Par</t>
  </si>
  <si>
    <t>Canadon Seco</t>
  </si>
  <si>
    <t>CANCEL</t>
  </si>
  <si>
    <t>CANCELED</t>
  </si>
  <si>
    <t>CANCELING</t>
  </si>
  <si>
    <t>CANCELLATION</t>
  </si>
  <si>
    <t>CANCELLATIONS</t>
  </si>
  <si>
    <t>CANCELLED</t>
  </si>
  <si>
    <t>CANCELLING</t>
  </si>
  <si>
    <t>CANCELS</t>
  </si>
  <si>
    <t>cannot</t>
  </si>
  <si>
    <t>Cano Limon</t>
  </si>
  <si>
    <t>cantarell</t>
  </si>
  <si>
    <t>capacity</t>
  </si>
  <si>
    <t>capacity trading</t>
  </si>
  <si>
    <t>capacity utilisation</t>
  </si>
  <si>
    <t>capacity utilization</t>
  </si>
  <si>
    <t>capacity utilization rate</t>
  </si>
  <si>
    <t>capital account</t>
  </si>
  <si>
    <t>capital consumption allowance</t>
  </si>
  <si>
    <t>capital cost</t>
  </si>
  <si>
    <t>capital costs</t>
  </si>
  <si>
    <t>capital formation</t>
  </si>
  <si>
    <t>capital goods sector</t>
  </si>
  <si>
    <t>capital investment</t>
  </si>
  <si>
    <t>capital investments</t>
  </si>
  <si>
    <t>capital lease</t>
  </si>
  <si>
    <t>capital movements</t>
  </si>
  <si>
    <t>capitalism</t>
  </si>
  <si>
    <t>capitalist</t>
  </si>
  <si>
    <t>Capping</t>
  </si>
  <si>
    <t>Captain</t>
  </si>
  <si>
    <t>captive coal</t>
  </si>
  <si>
    <t xml:space="preserve">Carbon residue </t>
  </si>
  <si>
    <t>CARELESS</t>
  </si>
  <si>
    <t>CARELESSLY</t>
  </si>
  <si>
    <t>CARELESSNESS</t>
  </si>
  <si>
    <t>carson refinery</t>
  </si>
  <si>
    <t>cartel</t>
  </si>
  <si>
    <t>cash &amp; equivalents</t>
  </si>
  <si>
    <t>cash flow statement</t>
  </si>
  <si>
    <t>cash-and-carry arbitrage</t>
  </si>
  <si>
    <t>Casing</t>
  </si>
  <si>
    <t>Casing perforation</t>
  </si>
  <si>
    <t>Casinghead Gas</t>
  </si>
  <si>
    <t>CASUALTIES</t>
  </si>
  <si>
    <t>CATASTROPHE</t>
  </si>
  <si>
    <t>CATASTROPHES</t>
  </si>
  <si>
    <t>CATASTROPHIC</t>
  </si>
  <si>
    <t>CATASTROPHICALLY</t>
  </si>
  <si>
    <t>Cathodic protection</t>
  </si>
  <si>
    <t>CAUTION</t>
  </si>
  <si>
    <t>CAUTIONARY</t>
  </si>
  <si>
    <t>CAUTIONED</t>
  </si>
  <si>
    <t>CAUTIONING</t>
  </si>
  <si>
    <t>CAUTIONS</t>
  </si>
  <si>
    <t>CEASE</t>
  </si>
  <si>
    <t>CEASED</t>
  </si>
  <si>
    <t>CEASES</t>
  </si>
  <si>
    <t>CEASING</t>
  </si>
  <si>
    <t>Ceiba</t>
  </si>
  <si>
    <t>Cement</t>
  </si>
  <si>
    <t>CENSURE</t>
  </si>
  <si>
    <t>CENSURED</t>
  </si>
  <si>
    <t>CENSURES</t>
  </si>
  <si>
    <t>CENSURING</t>
  </si>
  <si>
    <t xml:space="preserve">Centistokes </t>
  </si>
  <si>
    <t>central bank</t>
  </si>
  <si>
    <t>Central Bitumen Processing Facility</t>
  </si>
  <si>
    <t>Central Crude Oil Treating Plant</t>
  </si>
  <si>
    <t>Central Oil Battery</t>
  </si>
  <si>
    <t>Cepu</t>
  </si>
  <si>
    <t>Cerro Negro</t>
  </si>
  <si>
    <t>chain deflator</t>
  </si>
  <si>
    <t>Chainhand</t>
  </si>
  <si>
    <t>CHALLENGE</t>
  </si>
  <si>
    <t>CHALLENGED</t>
  </si>
  <si>
    <t>CHALLENGES</t>
  </si>
  <si>
    <t>CHALLENGING</t>
  </si>
  <si>
    <t>Champion</t>
  </si>
  <si>
    <t>CHARGEOFFS</t>
  </si>
  <si>
    <t>CHARITABLE</t>
  </si>
  <si>
    <t>chart of accounts</t>
  </si>
  <si>
    <t>chartered financial analyst</t>
  </si>
  <si>
    <t>cherry point refinery</t>
  </si>
  <si>
    <t>chevron</t>
  </si>
  <si>
    <t>chevron richmond refinery</t>
  </si>
  <si>
    <t>chicago pmi</t>
  </si>
  <si>
    <t>chicontepec</t>
  </si>
  <si>
    <t>china</t>
  </si>
  <si>
    <t>chinese yuan</t>
  </si>
  <si>
    <t>Chinguetti</t>
  </si>
  <si>
    <t>Choke</t>
  </si>
  <si>
    <t>choke price</t>
  </si>
  <si>
    <t>chooser option</t>
  </si>
  <si>
    <t>Christmas tree</t>
  </si>
  <si>
    <t>cic</t>
  </si>
  <si>
    <t>cilacap refinery</t>
  </si>
  <si>
    <t>Cinta</t>
  </si>
  <si>
    <t>circular flow of income</t>
  </si>
  <si>
    <t>Circulation</t>
  </si>
  <si>
    <t>CIRCUMVENT</t>
  </si>
  <si>
    <t>CIRCUMVENTED</t>
  </si>
  <si>
    <t>CIRCUMVENTING</t>
  </si>
  <si>
    <t>CIRCUMVENTION</t>
  </si>
  <si>
    <t>CIRCUMVENTIONS</t>
  </si>
  <si>
    <t>CIRCUMVENTS</t>
  </si>
  <si>
    <t>citgo</t>
  </si>
  <si>
    <t>citgo lake charles</t>
  </si>
  <si>
    <t>civilian unemployment rate</t>
  </si>
  <si>
    <t>CLAIMING</t>
  </si>
  <si>
    <t>CLAIMS</t>
  </si>
  <si>
    <t>Clair</t>
  </si>
  <si>
    <t>clairoil</t>
  </si>
  <si>
    <t>classification of assets</t>
  </si>
  <si>
    <t>CLAWBACK</t>
  </si>
  <si>
    <t>close</t>
  </si>
  <si>
    <t>CLOSED</t>
  </si>
  <si>
    <t>closed economy</t>
  </si>
  <si>
    <t>Closed-in</t>
  </si>
  <si>
    <t>CLOSEOUT</t>
  </si>
  <si>
    <t>CLOSEOUTS</t>
  </si>
  <si>
    <t>CLOSING</t>
  </si>
  <si>
    <t>CLOSINGS</t>
  </si>
  <si>
    <t>CLOSURE</t>
  </si>
  <si>
    <t>CLOSURES</t>
  </si>
  <si>
    <t xml:space="preserve">Cloud point </t>
  </si>
  <si>
    <t>Coal bed methane</t>
  </si>
  <si>
    <t>Coal seam gas</t>
  </si>
  <si>
    <t>coalinga oil</t>
  </si>
  <si>
    <t>COERCE</t>
  </si>
  <si>
    <t>COERCED</t>
  </si>
  <si>
    <t>COERCES</t>
  </si>
  <si>
    <t>COERCING</t>
  </si>
  <si>
    <t>COERCION</t>
  </si>
  <si>
    <t>COERCIVE</t>
  </si>
  <si>
    <t>Coiled tubing</t>
  </si>
  <si>
    <t>coincident indicator</t>
  </si>
  <si>
    <t>Coke</t>
  </si>
  <si>
    <t>cola</t>
  </si>
  <si>
    <t>Cold Lake</t>
  </si>
  <si>
    <t>Cold Recovery</t>
  </si>
  <si>
    <t>Cold vent</t>
  </si>
  <si>
    <t>COLLABORATE</t>
  </si>
  <si>
    <t>COLLABORATED</t>
  </si>
  <si>
    <t>COLLABORATES</t>
  </si>
  <si>
    <t>COLLABORATING</t>
  </si>
  <si>
    <t>COLLABORATION</t>
  </si>
  <si>
    <t>COLLABORATIONS</t>
  </si>
  <si>
    <t>COLLABORATIVE</t>
  </si>
  <si>
    <t>COLLABORATOR</t>
  </si>
  <si>
    <t>COLLABORATORS</t>
  </si>
  <si>
    <t>collapse</t>
  </si>
  <si>
    <t>COLLAPSED</t>
  </si>
  <si>
    <t>COLLAPSES</t>
  </si>
  <si>
    <t>COLLAPSING</t>
  </si>
  <si>
    <t>COLLISION</t>
  </si>
  <si>
    <t>COLLISIONS</t>
  </si>
  <si>
    <t>COLLUDE</t>
  </si>
  <si>
    <t>COLLUDED</t>
  </si>
  <si>
    <t>COLLUDES</t>
  </si>
  <si>
    <t>COLLUDING</t>
  </si>
  <si>
    <t>COLLUSION</t>
  </si>
  <si>
    <t>COLLUSIONS</t>
  </si>
  <si>
    <t>COLLUSIVE</t>
  </si>
  <si>
    <t>command economy</t>
  </si>
  <si>
    <t>commercial paper funding facility</t>
  </si>
  <si>
    <t>commercial wells</t>
  </si>
  <si>
    <t>Commingling</t>
  </si>
  <si>
    <t>commission</t>
  </si>
  <si>
    <t>commodity exchange act</t>
  </si>
  <si>
    <t>commodity future</t>
  </si>
  <si>
    <t>commodity futures modernization act of 2000</t>
  </si>
  <si>
    <t>commodity futures trading commission</t>
  </si>
  <si>
    <t>commodity pool operator</t>
  </si>
  <si>
    <t>commodity swap</t>
  </si>
  <si>
    <t>commodity trading</t>
  </si>
  <si>
    <t>commodity trading adviser</t>
  </si>
  <si>
    <t>common market</t>
  </si>
  <si>
    <t>common stock equivalents</t>
  </si>
  <si>
    <t>common-sized</t>
  </si>
  <si>
    <t>community development corporation</t>
  </si>
  <si>
    <t>community reinvestment act of 1977</t>
  </si>
  <si>
    <t>companies</t>
  </si>
  <si>
    <t>company</t>
  </si>
  <si>
    <t>comparative advantage</t>
  </si>
  <si>
    <t>Compensator</t>
  </si>
  <si>
    <t>competition</t>
  </si>
  <si>
    <t>competitor</t>
  </si>
  <si>
    <t>COMPLAIN</t>
  </si>
  <si>
    <t>COMPLAINED</t>
  </si>
  <si>
    <t>COMPLAINING</t>
  </si>
  <si>
    <t>COMPLAINS</t>
  </si>
  <si>
    <t>COMPLAINT</t>
  </si>
  <si>
    <t>COMPLAINTS</t>
  </si>
  <si>
    <t>COMPLICATE</t>
  </si>
  <si>
    <t>COMPLICATED</t>
  </si>
  <si>
    <t>COMPLICATES</t>
  </si>
  <si>
    <t>COMPLICATING</t>
  </si>
  <si>
    <t>COMPLICATION</t>
  </si>
  <si>
    <t>COMPLICATIONS</t>
  </si>
  <si>
    <t>COMPLIMENT</t>
  </si>
  <si>
    <t>COMPLIMENTARY</t>
  </si>
  <si>
    <t>COMPLIMENTED</t>
  </si>
  <si>
    <t>COMPLIMENTING</t>
  </si>
  <si>
    <t>COMPLIMENTS</t>
  </si>
  <si>
    <t>Compressed Natural Gas</t>
  </si>
  <si>
    <t>COMPULSION</t>
  </si>
  <si>
    <t>CONCEALED</t>
  </si>
  <si>
    <t>CONCEALING</t>
  </si>
  <si>
    <t>CONCEDE</t>
  </si>
  <si>
    <t>CONCEDED</t>
  </si>
  <si>
    <t>CONCEDES</t>
  </si>
  <si>
    <t>CONCEDING</t>
  </si>
  <si>
    <t>CONCERN</t>
  </si>
  <si>
    <t>CONCERNED</t>
  </si>
  <si>
    <t>CONCERNS</t>
  </si>
  <si>
    <t>CONCILIATING</t>
  </si>
  <si>
    <t>CONCILIATION</t>
  </si>
  <si>
    <t>CONCILIATIONS</t>
  </si>
  <si>
    <t>CONCLUSIVE</t>
  </si>
  <si>
    <t>CONCLUSIVELY</t>
  </si>
  <si>
    <t>CONDEMN</t>
  </si>
  <si>
    <t>CONDEMNATION</t>
  </si>
  <si>
    <t>CONDEMNATIONS</t>
  </si>
  <si>
    <t>CONDEMNED</t>
  </si>
  <si>
    <t>CONDEMNING</t>
  </si>
  <si>
    <t>CONDEMNS</t>
  </si>
  <si>
    <t>Condensate</t>
  </si>
  <si>
    <t>Condensate field</t>
  </si>
  <si>
    <t>CONDONE</t>
  </si>
  <si>
    <t>CONDONED</t>
  </si>
  <si>
    <t>CONDUCIVE</t>
  </si>
  <si>
    <t>Conductor</t>
  </si>
  <si>
    <t>conference board, the</t>
  </si>
  <si>
    <t>CONFESS</t>
  </si>
  <si>
    <t>CONFESSED</t>
  </si>
  <si>
    <t>CONFESSES</t>
  </si>
  <si>
    <t>CONFESSING</t>
  </si>
  <si>
    <t>CONFESSION</t>
  </si>
  <si>
    <t>confidence indicator</t>
  </si>
  <si>
    <t>CONFIDENT</t>
  </si>
  <si>
    <t>CONFINE</t>
  </si>
  <si>
    <t>CONFINED</t>
  </si>
  <si>
    <t>CONFINEMENT</t>
  </si>
  <si>
    <t>CONFINEMENTS</t>
  </si>
  <si>
    <t>CONFINES</t>
  </si>
  <si>
    <t>CONFINING</t>
  </si>
  <si>
    <t>CONFISCATE</t>
  </si>
  <si>
    <t>CONFISCATED</t>
  </si>
  <si>
    <t>CONFISCATES</t>
  </si>
  <si>
    <t>CONFISCATING</t>
  </si>
  <si>
    <t>CONFISCATION</t>
  </si>
  <si>
    <t>CONFISCATIONS</t>
  </si>
  <si>
    <t>CONFLICT</t>
  </si>
  <si>
    <t>CONFLICTED</t>
  </si>
  <si>
    <t>CONFLICTING</t>
  </si>
  <si>
    <t>CONFLICTS</t>
  </si>
  <si>
    <t>CONFRONT</t>
  </si>
  <si>
    <t>CONFRONTATION</t>
  </si>
  <si>
    <t>CONFRONTATIONAL</t>
  </si>
  <si>
    <t>CONFRONTATIONS</t>
  </si>
  <si>
    <t>CONFRONTED</t>
  </si>
  <si>
    <t>CONFRONTING</t>
  </si>
  <si>
    <t>CONFRONTS</t>
  </si>
  <si>
    <t>CONFUSE</t>
  </si>
  <si>
    <t>CONFUSED</t>
  </si>
  <si>
    <t>CONFUSES</t>
  </si>
  <si>
    <t>CONFUSING</t>
  </si>
  <si>
    <t>CONFUSINGLY</t>
  </si>
  <si>
    <t>CONFUSION</t>
  </si>
  <si>
    <t>conocophillips</t>
  </si>
  <si>
    <t xml:space="preserve">conocophillips </t>
  </si>
  <si>
    <t>consignment</t>
  </si>
  <si>
    <t>CONSPIRACIES</t>
  </si>
  <si>
    <t>CONSPIRACY</t>
  </si>
  <si>
    <t>CONSPIRATOR</t>
  </si>
  <si>
    <t>CONSPIRATORIAL</t>
  </si>
  <si>
    <t>CONSPIRATORS</t>
  </si>
  <si>
    <t>CONSPIRE</t>
  </si>
  <si>
    <t>CONSPIRED</t>
  </si>
  <si>
    <t>CONSPIRES</t>
  </si>
  <si>
    <t>CONSPIRING</t>
  </si>
  <si>
    <t>constant dollar gdp</t>
  </si>
  <si>
    <t>constant dollars</t>
  </si>
  <si>
    <t>construction spending</t>
  </si>
  <si>
    <t>CONSTRUCTIVE</t>
  </si>
  <si>
    <t>CONSTRUCTIVELY</t>
  </si>
  <si>
    <t>CONSTRUE</t>
  </si>
  <si>
    <t>CONSTRUED</t>
  </si>
  <si>
    <t>CONSTRUES</t>
  </si>
  <si>
    <t>CONSTRUING</t>
  </si>
  <si>
    <t>consumer</t>
  </si>
  <si>
    <t>consumer basket</t>
  </si>
  <si>
    <t>consumer confidence</t>
  </si>
  <si>
    <t>consumer confidence index</t>
  </si>
  <si>
    <t>consumer cyclical</t>
  </si>
  <si>
    <t>consumer discretionary</t>
  </si>
  <si>
    <t>consumer durables</t>
  </si>
  <si>
    <t>consumer price index</t>
  </si>
  <si>
    <t>consumer sentiment index</t>
  </si>
  <si>
    <t>consumer staples</t>
  </si>
  <si>
    <t>consumerization</t>
  </si>
  <si>
    <t>contagion</t>
  </si>
  <si>
    <t>CONTEMPT</t>
  </si>
  <si>
    <t>CONTEND</t>
  </si>
  <si>
    <t>CONTENDED</t>
  </si>
  <si>
    <t>CONTENDING</t>
  </si>
  <si>
    <t>CONTENDS</t>
  </si>
  <si>
    <t>CONTENTION</t>
  </si>
  <si>
    <t>CONTENTIONS</t>
  </si>
  <si>
    <t>CONTENTIOUS</t>
  </si>
  <si>
    <t>CONTENTIOUSLY</t>
  </si>
  <si>
    <t>CONTESTED</t>
  </si>
  <si>
    <t>CONTESTING</t>
  </si>
  <si>
    <t>contra accounts</t>
  </si>
  <si>
    <t>contraction</t>
  </si>
  <si>
    <t>contractionary monetary policy</t>
  </si>
  <si>
    <t>CONTRACTIONS</t>
  </si>
  <si>
    <t>CONTRADICT</t>
  </si>
  <si>
    <t>CONTRADICTED</t>
  </si>
  <si>
    <t>CONTRADICTING</t>
  </si>
  <si>
    <t>CONTRADICTION</t>
  </si>
  <si>
    <t>CONTRADICTIONS</t>
  </si>
  <si>
    <t>CONTRADICTORY</t>
  </si>
  <si>
    <t>CONTRADICTS</t>
  </si>
  <si>
    <t>CONTRARY</t>
  </si>
  <si>
    <t>contributed capital</t>
  </si>
  <si>
    <t>contribution margin</t>
  </si>
  <si>
    <t>controlled wildcat drilling</t>
  </si>
  <si>
    <t>CONTROVERSIAL</t>
  </si>
  <si>
    <t>CONTROVERSIES</t>
  </si>
  <si>
    <t>CONTROVERSY</t>
  </si>
  <si>
    <t>convent refinery</t>
  </si>
  <si>
    <t>Conventional Crude Oil</t>
  </si>
  <si>
    <t>Conventional Natural Gas</t>
  </si>
  <si>
    <t>convertible currency</t>
  </si>
  <si>
    <t>CONVICT</t>
  </si>
  <si>
    <t>CONVICTED</t>
  </si>
  <si>
    <t>CONVICTING</t>
  </si>
  <si>
    <t>CONVICTION</t>
  </si>
  <si>
    <t>CONVICTIONS</t>
  </si>
  <si>
    <t xml:space="preserve">Copper strip corrosion </t>
  </si>
  <si>
    <t>core cpi</t>
  </si>
  <si>
    <t>core ppi</t>
  </si>
  <si>
    <t>Core sample</t>
  </si>
  <si>
    <t>CORRECTED</t>
  </si>
  <si>
    <t>CORRECTING</t>
  </si>
  <si>
    <t>CORRECTION</t>
  </si>
  <si>
    <t>CORRECTIONS</t>
  </si>
  <si>
    <t>CORRECTS</t>
  </si>
  <si>
    <t>CORRUPT</t>
  </si>
  <si>
    <t>CORRUPTED</t>
  </si>
  <si>
    <t>CORRUPTING</t>
  </si>
  <si>
    <t>CORRUPTION</t>
  </si>
  <si>
    <t>CORRUPTIONS</t>
  </si>
  <si>
    <t>CORRUPTLY</t>
  </si>
  <si>
    <t>CORRUPTNESS</t>
  </si>
  <si>
    <t>cos</t>
  </si>
  <si>
    <t>Cossack</t>
  </si>
  <si>
    <t xml:space="preserve">cost of goods sold </t>
  </si>
  <si>
    <t>cost of living adjustment</t>
  </si>
  <si>
    <t>cost of sales</t>
  </si>
  <si>
    <t>COSTLY</t>
  </si>
  <si>
    <t>cost-of-living index</t>
  </si>
  <si>
    <t>cost-push inflation</t>
  </si>
  <si>
    <t>could</t>
  </si>
  <si>
    <t>council of economic advisers</t>
  </si>
  <si>
    <t>COUNTERCLAIM</t>
  </si>
  <si>
    <t>COUNTERCLAIMED</t>
  </si>
  <si>
    <t>COUNTERCLAIMING</t>
  </si>
  <si>
    <t>COUNTERCLAIMS</t>
  </si>
  <si>
    <t>countercyclical</t>
  </si>
  <si>
    <t>countercyclical stock</t>
  </si>
  <si>
    <t>COUNTERFEIT</t>
  </si>
  <si>
    <t>COUNTERFEITED</t>
  </si>
  <si>
    <t>COUNTERFEITER</t>
  </si>
  <si>
    <t>COUNTERFEITERS</t>
  </si>
  <si>
    <t>COUNTERFEITING</t>
  </si>
  <si>
    <t>COUNTERFEITS</t>
  </si>
  <si>
    <t>COUNTERMEASURE</t>
  </si>
  <si>
    <t>COUNTERMEASURES</t>
  </si>
  <si>
    <t>COURTEOUS</t>
  </si>
  <si>
    <t>covenants</t>
  </si>
  <si>
    <t>covered option</t>
  </si>
  <si>
    <t>cpc</t>
  </si>
  <si>
    <t>CPC Blend</t>
  </si>
  <si>
    <t>cpi</t>
  </si>
  <si>
    <t>crack spread</t>
  </si>
  <si>
    <t>CREATIVE</t>
  </si>
  <si>
    <t>creative destruction</t>
  </si>
  <si>
    <t>CREATIVELY</t>
  </si>
  <si>
    <t>CREATIVENESS</t>
  </si>
  <si>
    <t>CREATIVITY</t>
  </si>
  <si>
    <t>credit crunch</t>
  </si>
  <si>
    <t>credit derivative</t>
  </si>
  <si>
    <t>credit rating</t>
  </si>
  <si>
    <t>credit risk</t>
  </si>
  <si>
    <t>credit squeeze</t>
  </si>
  <si>
    <t xml:space="preserve">credit value-at-risk </t>
  </si>
  <si>
    <t>CRIME</t>
  </si>
  <si>
    <t>CRIMES</t>
  </si>
  <si>
    <t>CRIMINAL</t>
  </si>
  <si>
    <t>CRIMINALLY</t>
  </si>
  <si>
    <t>CRIMINALS</t>
  </si>
  <si>
    <t>CRISES</t>
  </si>
  <si>
    <t>CRISIS</t>
  </si>
  <si>
    <t>CRITICAL</t>
  </si>
  <si>
    <t>CRITICALLY</t>
  </si>
  <si>
    <t>CRITICISM</t>
  </si>
  <si>
    <t>CRITICISMS</t>
  </si>
  <si>
    <t>CRITICIZE</t>
  </si>
  <si>
    <t>CRITICIZED</t>
  </si>
  <si>
    <t>CRITICIZES</t>
  </si>
  <si>
    <t>CRITICIZING</t>
  </si>
  <si>
    <t>cross trade</t>
  </si>
  <si>
    <t>crowding in</t>
  </si>
  <si>
    <t xml:space="preserve">crp </t>
  </si>
  <si>
    <t>CRUCIAL</t>
  </si>
  <si>
    <t>CRUCIALLY</t>
  </si>
  <si>
    <t>crude</t>
  </si>
  <si>
    <t>Crude Bitumen</t>
  </si>
  <si>
    <t>Crude Bitumen Group Battery</t>
  </si>
  <si>
    <t>Crude Bitumen Proration</t>
  </si>
  <si>
    <t>Crude Bitumen Satellite Battery</t>
  </si>
  <si>
    <t>Crude Bitumen Single Battery</t>
  </si>
  <si>
    <t>crude oil</t>
  </si>
  <si>
    <t>Crude Oil Battery</t>
  </si>
  <si>
    <t>Crude Oil Group Battery</t>
  </si>
  <si>
    <t>Crude Oil Losses</t>
  </si>
  <si>
    <t>Crude Oil Proration Battery</t>
  </si>
  <si>
    <t>Crude Oil Satellite Battery</t>
  </si>
  <si>
    <t>Crude Oil Single Battery</t>
  </si>
  <si>
    <t>ctfc</t>
  </si>
  <si>
    <t>CULPABILITY</t>
  </si>
  <si>
    <t>CULPABLE</t>
  </si>
  <si>
    <t>CULPABLY</t>
  </si>
  <si>
    <t>culpeper switch</t>
  </si>
  <si>
    <t>CUMBERSOME</t>
  </si>
  <si>
    <t>cupiagua/cusiana</t>
  </si>
  <si>
    <t>current account</t>
  </si>
  <si>
    <t>current account balance</t>
  </si>
  <si>
    <t>current assets</t>
  </si>
  <si>
    <t>current dollar gdp</t>
  </si>
  <si>
    <t>current dollars</t>
  </si>
  <si>
    <t>current liabilities</t>
  </si>
  <si>
    <t>current ratio</t>
  </si>
  <si>
    <t>CURTAIL</t>
  </si>
  <si>
    <t>CURTAILED</t>
  </si>
  <si>
    <t>CURTAILING</t>
  </si>
  <si>
    <t>CURTAILMENT</t>
  </si>
  <si>
    <t>CURTAILMENTS</t>
  </si>
  <si>
    <t>CURTAILS</t>
  </si>
  <si>
    <t>Cusiana</t>
  </si>
  <si>
    <t>Custody Transfer Point</t>
  </si>
  <si>
    <t>Custom Treating Plant</t>
  </si>
  <si>
    <t>customer</t>
  </si>
  <si>
    <t>CUT</t>
  </si>
  <si>
    <t>CUTBACK</t>
  </si>
  <si>
    <t>CUTBACKS</t>
  </si>
  <si>
    <t>cycle</t>
  </si>
  <si>
    <t>cyclical</t>
  </si>
  <si>
    <t>cyclical industry</t>
  </si>
  <si>
    <t>cyclical risk</t>
  </si>
  <si>
    <t>cyclical stock</t>
  </si>
  <si>
    <t>cyclical unemployment</t>
  </si>
  <si>
    <t>dalia</t>
  </si>
  <si>
    <t>DAMAGE</t>
  </si>
  <si>
    <t>DAMAGED</t>
  </si>
  <si>
    <t>DAMAGES</t>
  </si>
  <si>
    <t>DAMAGING</t>
  </si>
  <si>
    <t>DAMPEN</t>
  </si>
  <si>
    <t>DAMPENED</t>
  </si>
  <si>
    <t>DANGER</t>
  </si>
  <si>
    <t>DANGEROUS</t>
  </si>
  <si>
    <t>DANGEROUSLY</t>
  </si>
  <si>
    <t>DANGERS</t>
  </si>
  <si>
    <t>daqing</t>
  </si>
  <si>
    <t>Dar Blend</t>
  </si>
  <si>
    <t>darkhan</t>
  </si>
  <si>
    <t>days payable outstanding</t>
  </si>
  <si>
    <t>days sales outstanding</t>
  </si>
  <si>
    <t>ddb</t>
  </si>
  <si>
    <t>DEADLOCK</t>
  </si>
  <si>
    <t>DEADLOCKED</t>
  </si>
  <si>
    <t>DEADLOCKING</t>
  </si>
  <si>
    <t>DEADLOCKS</t>
  </si>
  <si>
    <t>DEADWEIGHT</t>
  </si>
  <si>
    <t>DEADWEIGHTS</t>
  </si>
  <si>
    <t>deal</t>
  </si>
  <si>
    <t>DEBARMENT</t>
  </si>
  <si>
    <t>DEBARMENTS</t>
  </si>
  <si>
    <t>DEBARRED</t>
  </si>
  <si>
    <t>debt</t>
  </si>
  <si>
    <t>debt bomb</t>
  </si>
  <si>
    <t>debt obligation</t>
  </si>
  <si>
    <t>debt overhang</t>
  </si>
  <si>
    <t xml:space="preserve">debt to equity ratio </t>
  </si>
  <si>
    <t>debt to tangible equity ratio</t>
  </si>
  <si>
    <t>debtor nation</t>
  </si>
  <si>
    <t>dec</t>
  </si>
  <si>
    <t>DECEASED</t>
  </si>
  <si>
    <t>DECEIT</t>
  </si>
  <si>
    <t>DECEITFUL</t>
  </si>
  <si>
    <t>DECEITFULNESS</t>
  </si>
  <si>
    <t>DECEIVE</t>
  </si>
  <si>
    <t>DECEIVED</t>
  </si>
  <si>
    <t>DECEIVES</t>
  </si>
  <si>
    <t>DECEIVING</t>
  </si>
  <si>
    <t>december</t>
  </si>
  <si>
    <t>DECEPTION</t>
  </si>
  <si>
    <t>DECEPTIONS</t>
  </si>
  <si>
    <t>DECEPTIVE</t>
  </si>
  <si>
    <t>DECEPTIVELY</t>
  </si>
  <si>
    <t>DECLINE</t>
  </si>
  <si>
    <t>DECLINED</t>
  </si>
  <si>
    <t>DECLINES</t>
  </si>
  <si>
    <t>DECLINING</t>
  </si>
  <si>
    <t>Decommissioning</t>
  </si>
  <si>
    <t>DEEPENED</t>
  </si>
  <si>
    <t>DEEPENING</t>
  </si>
  <si>
    <t>DEEPENS</t>
  </si>
  <si>
    <t>DEEPER</t>
  </si>
  <si>
    <t>DEEPEST</t>
  </si>
  <si>
    <t>Deep-Water Discovery</t>
  </si>
  <si>
    <t>deer park shell-pemex partnership</t>
  </si>
  <si>
    <t>DEFACE</t>
  </si>
  <si>
    <t>DEFACED</t>
  </si>
  <si>
    <t>DEFACEMENT</t>
  </si>
  <si>
    <t>DEFAMATION</t>
  </si>
  <si>
    <t>DEFAMATIONS</t>
  </si>
  <si>
    <t>DEFAMATORY</t>
  </si>
  <si>
    <t>DEFAME</t>
  </si>
  <si>
    <t>DEFAMED</t>
  </si>
  <si>
    <t>DEFAMES</t>
  </si>
  <si>
    <t>DEFAMING</t>
  </si>
  <si>
    <t>DEFAULT</t>
  </si>
  <si>
    <t>DEFAULTED</t>
  </si>
  <si>
    <t>DEFAULTING</t>
  </si>
  <si>
    <t>DEFAULTS</t>
  </si>
  <si>
    <t>DEFEAT</t>
  </si>
  <si>
    <t>DEFEATED</t>
  </si>
  <si>
    <t>DEFEATING</t>
  </si>
  <si>
    <t>DEFEATS</t>
  </si>
  <si>
    <t>DEFECT</t>
  </si>
  <si>
    <t>DEFECTIVE</t>
  </si>
  <si>
    <t>DEFECTS</t>
  </si>
  <si>
    <t>DEFEND</t>
  </si>
  <si>
    <t>DEFENDANT</t>
  </si>
  <si>
    <t>DEFENDANTS</t>
  </si>
  <si>
    <t>DEFENDED</t>
  </si>
  <si>
    <t>DEFENDING</t>
  </si>
  <si>
    <t>DEFENDS</t>
  </si>
  <si>
    <t>DEFENSIVE</t>
  </si>
  <si>
    <t>defensive open market operations</t>
  </si>
  <si>
    <t>DEFER</t>
  </si>
  <si>
    <t>deferred revenue</t>
  </si>
  <si>
    <t>DEFICIENCIES</t>
  </si>
  <si>
    <t>DEFICIENCY</t>
  </si>
  <si>
    <t>DEFICIENT</t>
  </si>
  <si>
    <t>DEFICIT</t>
  </si>
  <si>
    <t>DEFICITS</t>
  </si>
  <si>
    <t>deflation</t>
  </si>
  <si>
    <t>deflationary policy</t>
  </si>
  <si>
    <t>deflationary spiral</t>
  </si>
  <si>
    <t>deflator</t>
  </si>
  <si>
    <t>DEFRAUD</t>
  </si>
  <si>
    <t>DEFRAUDED</t>
  </si>
  <si>
    <t>DEFRAUDING</t>
  </si>
  <si>
    <t>DEFRAUDS</t>
  </si>
  <si>
    <t>DEFUNCT</t>
  </si>
  <si>
    <t>DEGRADATION</t>
  </si>
  <si>
    <t>DEGRADATIONS</t>
  </si>
  <si>
    <t>DEGRADE</t>
  </si>
  <si>
    <t>DEGRADED</t>
  </si>
  <si>
    <t>DEGRADES</t>
  </si>
  <si>
    <t>DEGRADING</t>
  </si>
  <si>
    <t>DELAY</t>
  </si>
  <si>
    <t>DELAYED</t>
  </si>
  <si>
    <t>DELAYING</t>
  </si>
  <si>
    <t>DELAYS</t>
  </si>
  <si>
    <t>DELETERIOUS</t>
  </si>
  <si>
    <t>DELIBERATE</t>
  </si>
  <si>
    <t>DELIBERATED</t>
  </si>
  <si>
    <t>DELIBERATELY</t>
  </si>
  <si>
    <t>DELIGHT</t>
  </si>
  <si>
    <t>DELIGHTED</t>
  </si>
  <si>
    <t>DELIGHTFUL</t>
  </si>
  <si>
    <t>DELIGHTFULLY</t>
  </si>
  <si>
    <t>DELIGHTING</t>
  </si>
  <si>
    <t>DELIGHTS</t>
  </si>
  <si>
    <t>Delineation well</t>
  </si>
  <si>
    <t>DELINQUENCIES</t>
  </si>
  <si>
    <t>DELINQUENCY</t>
  </si>
  <si>
    <t>DELINQUENT</t>
  </si>
  <si>
    <t>DELINQUENTLY</t>
  </si>
  <si>
    <t>DELINQUENTS</t>
  </si>
  <si>
    <t>DELIST</t>
  </si>
  <si>
    <t>DELISTED</t>
  </si>
  <si>
    <t>DELISTING</t>
  </si>
  <si>
    <t>DELISTS</t>
  </si>
  <si>
    <t>demand</t>
  </si>
  <si>
    <t>demand curve</t>
  </si>
  <si>
    <t>demand elasticity</t>
  </si>
  <si>
    <t>demand inflation</t>
  </si>
  <si>
    <t>demand schedule</t>
  </si>
  <si>
    <t>demand-pull inflation</t>
  </si>
  <si>
    <t>DEMISE</t>
  </si>
  <si>
    <t>DEMISED</t>
  </si>
  <si>
    <t>DEMISES</t>
  </si>
  <si>
    <t>DEMISING</t>
  </si>
  <si>
    <t>demographics</t>
  </si>
  <si>
    <t>DEMOLISH</t>
  </si>
  <si>
    <t>DEMOLISHED</t>
  </si>
  <si>
    <t>DEMOLISHES</t>
  </si>
  <si>
    <t>DEMOLISHING</t>
  </si>
  <si>
    <t>DEMOLITION</t>
  </si>
  <si>
    <t>DEMOLITIONS</t>
  </si>
  <si>
    <t>demonetization</t>
  </si>
  <si>
    <t>DEMOTE</t>
  </si>
  <si>
    <t>DEMOTED</t>
  </si>
  <si>
    <t>DEMOTES</t>
  </si>
  <si>
    <t>DEMOTING</t>
  </si>
  <si>
    <t>DEMOTION</t>
  </si>
  <si>
    <t>DEMOTIONS</t>
  </si>
  <si>
    <t xml:space="preserve">Demulsibility </t>
  </si>
  <si>
    <t>denationalization</t>
  </si>
  <si>
    <t>DENIAL</t>
  </si>
  <si>
    <t>DENIALS</t>
  </si>
  <si>
    <t>DENIED</t>
  </si>
  <si>
    <t>DENIES</t>
  </si>
  <si>
    <t>DENIGRATE</t>
  </si>
  <si>
    <t>DENIGRATED</t>
  </si>
  <si>
    <t>DENIGRATES</t>
  </si>
  <si>
    <t>DENIGRATING</t>
  </si>
  <si>
    <t>DENIGRATION</t>
  </si>
  <si>
    <t xml:space="preserve">Density </t>
  </si>
  <si>
    <t>DENY</t>
  </si>
  <si>
    <t>DENYING</t>
  </si>
  <si>
    <t>department of commerce</t>
  </si>
  <si>
    <t>DEPENDABILITY</t>
  </si>
  <si>
    <t>DEPENDABLE</t>
  </si>
  <si>
    <t>dependency ratio</t>
  </si>
  <si>
    <t>DEPLETE</t>
  </si>
  <si>
    <t>DEPLETED</t>
  </si>
  <si>
    <t>DEPLETES</t>
  </si>
  <si>
    <t>DEPLETING</t>
  </si>
  <si>
    <t>depletion</t>
  </si>
  <si>
    <t>DEPLETIONS</t>
  </si>
  <si>
    <t>deposit multiplier</t>
  </si>
  <si>
    <t>DEPRECATION</t>
  </si>
  <si>
    <t>depreciation</t>
  </si>
  <si>
    <t>DEPRESS</t>
  </si>
  <si>
    <t>DEPRESSED</t>
  </si>
  <si>
    <t>depressed market</t>
  </si>
  <si>
    <t>DEPRESSES</t>
  </si>
  <si>
    <t>DEPRESSING</t>
  </si>
  <si>
    <t>depression</t>
  </si>
  <si>
    <t>DEPRIVATION</t>
  </si>
  <si>
    <t>DEPRIVE</t>
  </si>
  <si>
    <t>DEPRIVED</t>
  </si>
  <si>
    <t>DEPRIVES</t>
  </si>
  <si>
    <t>DEPRIVING</t>
  </si>
  <si>
    <t>deregulation</t>
  </si>
  <si>
    <t>DERELICT</t>
  </si>
  <si>
    <t>DERELICTION</t>
  </si>
  <si>
    <t>derivatives</t>
  </si>
  <si>
    <t>DEROGATORY</t>
  </si>
  <si>
    <t>Derrick</t>
  </si>
  <si>
    <t>Derrickman</t>
  </si>
  <si>
    <t>DESIRABLE</t>
  </si>
  <si>
    <t>DESIRED</t>
  </si>
  <si>
    <t>DESPITE</t>
  </si>
  <si>
    <t>DESTABILIZATION</t>
  </si>
  <si>
    <t>DESTABILIZE</t>
  </si>
  <si>
    <t>DESTABILIZED</t>
  </si>
  <si>
    <t>DESTABILIZING</t>
  </si>
  <si>
    <t>DESTINED</t>
  </si>
  <si>
    <t>DESTROY</t>
  </si>
  <si>
    <t>DESTROYED</t>
  </si>
  <si>
    <t>DESTROYING</t>
  </si>
  <si>
    <t>DESTROYS</t>
  </si>
  <si>
    <t>DESTRUCTION</t>
  </si>
  <si>
    <t>DESTRUCTIVE</t>
  </si>
  <si>
    <t>DETAIN</t>
  </si>
  <si>
    <t>DETAINED</t>
  </si>
  <si>
    <t>DETENTION</t>
  </si>
  <si>
    <t>DETENTIONS</t>
  </si>
  <si>
    <t>DETER</t>
  </si>
  <si>
    <t>DETERIORATE</t>
  </si>
  <si>
    <t>DETERIORATED</t>
  </si>
  <si>
    <t>DETERIORATES</t>
  </si>
  <si>
    <t>DETERIORATING</t>
  </si>
  <si>
    <t>DETERIORATION</t>
  </si>
  <si>
    <t>DETERIORATIONS</t>
  </si>
  <si>
    <t>DETERRED</t>
  </si>
  <si>
    <t>DETERRENCE</t>
  </si>
  <si>
    <t>DETERRENCES</t>
  </si>
  <si>
    <t>DETERRENT</t>
  </si>
  <si>
    <t>DETERRENTS</t>
  </si>
  <si>
    <t>DETERRING</t>
  </si>
  <si>
    <t>DETERS</t>
  </si>
  <si>
    <t>DETRACT</t>
  </si>
  <si>
    <t>DETRACTED</t>
  </si>
  <si>
    <t>DETRACTING</t>
  </si>
  <si>
    <t>DETRIMENT</t>
  </si>
  <si>
    <t>DETRIMENTAL</t>
  </si>
  <si>
    <t>DETRIMENTALLY</t>
  </si>
  <si>
    <t>DETRIMENTS</t>
  </si>
  <si>
    <t>DEVALUE</t>
  </si>
  <si>
    <t>DEVALUED</t>
  </si>
  <si>
    <t>DEVALUES</t>
  </si>
  <si>
    <t>DEVALUING</t>
  </si>
  <si>
    <t>DEVASTATE</t>
  </si>
  <si>
    <t>DEVASTATED</t>
  </si>
  <si>
    <t>DEVASTATING</t>
  </si>
  <si>
    <t>DEVASTATION</t>
  </si>
  <si>
    <t>developed markets</t>
  </si>
  <si>
    <t>Development</t>
  </si>
  <si>
    <t>Development well</t>
  </si>
  <si>
    <t>developmental drilling program</t>
  </si>
  <si>
    <t>DEVIATE</t>
  </si>
  <si>
    <t>DEVIATED</t>
  </si>
  <si>
    <t>Deviated well</t>
  </si>
  <si>
    <t>DEVIATES</t>
  </si>
  <si>
    <t>DEVIATING</t>
  </si>
  <si>
    <t>DEVIATION</t>
  </si>
  <si>
    <t>DEVIATIONS</t>
  </si>
  <si>
    <t>DEVOLVE</t>
  </si>
  <si>
    <t>DEVOLVED</t>
  </si>
  <si>
    <t>DEVOLVES</t>
  </si>
  <si>
    <t>DEVOLVING</t>
  </si>
  <si>
    <t>did</t>
  </si>
  <si>
    <t>Diesel Fuel</t>
  </si>
  <si>
    <t>DIFFICULT</t>
  </si>
  <si>
    <t>DIFFICULTIES</t>
  </si>
  <si>
    <t>DIFFICULTLY</t>
  </si>
  <si>
    <t>DIFFICULTY</t>
  </si>
  <si>
    <t>digital option</t>
  </si>
  <si>
    <t>digital swap</t>
  </si>
  <si>
    <t>DILIGENT</t>
  </si>
  <si>
    <t>DILIGENTLY</t>
  </si>
  <si>
    <t>Diluent</t>
  </si>
  <si>
    <t>Diluted Bitumen</t>
  </si>
  <si>
    <t>DIMINISH</t>
  </si>
  <si>
    <t>DIMINISHED</t>
  </si>
  <si>
    <t>DIMINISHES</t>
  </si>
  <si>
    <t>DIMINISHING</t>
  </si>
  <si>
    <t>diminishing marginal returns</t>
  </si>
  <si>
    <t>diminishing return</t>
  </si>
  <si>
    <t>DIMINUTION</t>
  </si>
  <si>
    <t>direct costs</t>
  </si>
  <si>
    <t>direct labor</t>
  </si>
  <si>
    <t>DISADVANTAGE</t>
  </si>
  <si>
    <t>DISADVANTAGED</t>
  </si>
  <si>
    <t>DISADVANTAGEOUS</t>
  </si>
  <si>
    <t>DISADVANTAGES</t>
  </si>
  <si>
    <t>DISAFFILIATION</t>
  </si>
  <si>
    <t>DISAGREE</t>
  </si>
  <si>
    <t>DISAGREEABLE</t>
  </si>
  <si>
    <t>DISAGREED</t>
  </si>
  <si>
    <t>DISAGREEING</t>
  </si>
  <si>
    <t>DISAGREEMENT</t>
  </si>
  <si>
    <t>DISAGREEMENTS</t>
  </si>
  <si>
    <t>DISAGREES</t>
  </si>
  <si>
    <t>DISALLOW</t>
  </si>
  <si>
    <t>DISALLOWANCE</t>
  </si>
  <si>
    <t>DISALLOWANCES</t>
  </si>
  <si>
    <t>DISALLOWED</t>
  </si>
  <si>
    <t>DISALLOWING</t>
  </si>
  <si>
    <t>DISALLOWS</t>
  </si>
  <si>
    <t>DISAPPEAR</t>
  </si>
  <si>
    <t>DISAPPEARANCE</t>
  </si>
  <si>
    <t>DISAPPEARANCES</t>
  </si>
  <si>
    <t>DISAPPEARED</t>
  </si>
  <si>
    <t>DISAPPEARING</t>
  </si>
  <si>
    <t>DISAPPEARS</t>
  </si>
  <si>
    <t>DISAPPOINT</t>
  </si>
  <si>
    <t>DISAPPOINTED</t>
  </si>
  <si>
    <t>DISAPPOINTING</t>
  </si>
  <si>
    <t>DISAPPOINTINGLY</t>
  </si>
  <si>
    <t>DISAPPOINTMENT</t>
  </si>
  <si>
    <t>DISAPPOINTMENTS</t>
  </si>
  <si>
    <t>DISAPPOINTS</t>
  </si>
  <si>
    <t>DISAPPROVAL</t>
  </si>
  <si>
    <t>DISAPPROVALS</t>
  </si>
  <si>
    <t>DISAPPROVE</t>
  </si>
  <si>
    <t>DISAPPROVED</t>
  </si>
  <si>
    <t>DISAPPROVES</t>
  </si>
  <si>
    <t>DISAPPROVING</t>
  </si>
  <si>
    <t>DISASSOCIATES</t>
  </si>
  <si>
    <t>DISASSOCIATING</t>
  </si>
  <si>
    <t>DISASSOCIATION</t>
  </si>
  <si>
    <t>DISASSOCIATIONS</t>
  </si>
  <si>
    <t>DISASTER</t>
  </si>
  <si>
    <t>DISASTERS</t>
  </si>
  <si>
    <t>DISASTROUS</t>
  </si>
  <si>
    <t>DISASTROUSLY</t>
  </si>
  <si>
    <t>DISAVOW</t>
  </si>
  <si>
    <t>DISAVOWAL</t>
  </si>
  <si>
    <t>DISAVOWED</t>
  </si>
  <si>
    <t>DISAVOWING</t>
  </si>
  <si>
    <t>DISAVOWS</t>
  </si>
  <si>
    <t>DISCIPLINARY</t>
  </si>
  <si>
    <t>DISCLAIM</t>
  </si>
  <si>
    <t>DISCLAIMED</t>
  </si>
  <si>
    <t>DISCLAIMER</t>
  </si>
  <si>
    <t>DISCLAIMERS</t>
  </si>
  <si>
    <t>DISCLAIMING</t>
  </si>
  <si>
    <t>DISCLAIMS</t>
  </si>
  <si>
    <t>DISCLOSE</t>
  </si>
  <si>
    <t>DISCLOSED</t>
  </si>
  <si>
    <t>DISCLOSES</t>
  </si>
  <si>
    <t>DISCLOSING</t>
  </si>
  <si>
    <t>DISCONTINUANCE</t>
  </si>
  <si>
    <t>DISCONTINUANCES</t>
  </si>
  <si>
    <t>DISCONTINUATION</t>
  </si>
  <si>
    <t>DISCONTINUATIONS</t>
  </si>
  <si>
    <t>DISCONTINUE</t>
  </si>
  <si>
    <t>DISCONTINUED</t>
  </si>
  <si>
    <t>DISCONTINUES</t>
  </si>
  <si>
    <t>DISCONTINUING</t>
  </si>
  <si>
    <t>discount rate</t>
  </si>
  <si>
    <t>discounting</t>
  </si>
  <si>
    <t>DISCOURAGE</t>
  </si>
  <si>
    <t>DISCOURAGED</t>
  </si>
  <si>
    <t>DISCOURAGES</t>
  </si>
  <si>
    <t>DISCOURAGING</t>
  </si>
  <si>
    <t>Discovery</t>
  </si>
  <si>
    <t>Discovery well</t>
  </si>
  <si>
    <t>DISCREDIT</t>
  </si>
  <si>
    <t>DISCREDITED</t>
  </si>
  <si>
    <t>DISCREDITING</t>
  </si>
  <si>
    <t>DISCREDITS</t>
  </si>
  <si>
    <t>DISCREPANCIES</t>
  </si>
  <si>
    <t>DISCREPANCY</t>
  </si>
  <si>
    <t>discretionary income</t>
  </si>
  <si>
    <t>DISFAVOR</t>
  </si>
  <si>
    <t>DISFAVORED</t>
  </si>
  <si>
    <t>DISFAVORING</t>
  </si>
  <si>
    <t>DISFAVORS</t>
  </si>
  <si>
    <t>DISGORGE</t>
  </si>
  <si>
    <t>DISGORGED</t>
  </si>
  <si>
    <t>DISGORGEMENT</t>
  </si>
  <si>
    <t>DISGORGEMENTS</t>
  </si>
  <si>
    <t>DISGORGES</t>
  </si>
  <si>
    <t>DISGORGING</t>
  </si>
  <si>
    <t>DISGRACE</t>
  </si>
  <si>
    <t>DISGRACEFUL</t>
  </si>
  <si>
    <t>DISGRACEFULLY</t>
  </si>
  <si>
    <t>DISHONEST</t>
  </si>
  <si>
    <t>DISHONESTLY</t>
  </si>
  <si>
    <t>DISHONESTY</t>
  </si>
  <si>
    <t>DISHONOR</t>
  </si>
  <si>
    <t>DISHONORABLE</t>
  </si>
  <si>
    <t>DISHONORABLY</t>
  </si>
  <si>
    <t>DISHONORED</t>
  </si>
  <si>
    <t>DISHONORING</t>
  </si>
  <si>
    <t>DISHONORS</t>
  </si>
  <si>
    <t>DISINCENTIVES</t>
  </si>
  <si>
    <t>disinflation</t>
  </si>
  <si>
    <t>DISINTERESTED</t>
  </si>
  <si>
    <t>DISINTERESTEDLY</t>
  </si>
  <si>
    <t>DISINTERESTEDNESS</t>
  </si>
  <si>
    <t>DISLOYAL</t>
  </si>
  <si>
    <t>DISLOYALLY</t>
  </si>
  <si>
    <t>DISLOYALTY</t>
  </si>
  <si>
    <t>DISMAL</t>
  </si>
  <si>
    <t>dismal science</t>
  </si>
  <si>
    <t>DISMALLY</t>
  </si>
  <si>
    <t>DISMISS</t>
  </si>
  <si>
    <t>DISMISSAL</t>
  </si>
  <si>
    <t>DISMISSALS</t>
  </si>
  <si>
    <t>DISMISSED</t>
  </si>
  <si>
    <t>DISMISSES</t>
  </si>
  <si>
    <t>DISMISSING</t>
  </si>
  <si>
    <t>DISORDERLY</t>
  </si>
  <si>
    <t>DISPARAGE</t>
  </si>
  <si>
    <t>DISPARAGED</t>
  </si>
  <si>
    <t>DISPARAGEMENT</t>
  </si>
  <si>
    <t>DISPARAGEMENTS</t>
  </si>
  <si>
    <t>DISPARAGES</t>
  </si>
  <si>
    <t>DISPARAGING</t>
  </si>
  <si>
    <t>DISPARAGINGLY</t>
  </si>
  <si>
    <t>DISPARITIES</t>
  </si>
  <si>
    <t>DISPARITY</t>
  </si>
  <si>
    <t>DISPLACE</t>
  </si>
  <si>
    <t>DISPLACED</t>
  </si>
  <si>
    <t>DISPLACEMENT</t>
  </si>
  <si>
    <t>DISPLACEMENTS</t>
  </si>
  <si>
    <t>DISPLACES</t>
  </si>
  <si>
    <t>DISPLACING</t>
  </si>
  <si>
    <t>DISPOSE</t>
  </si>
  <si>
    <t>DISPOSSESS</t>
  </si>
  <si>
    <t>DISPOSSESSED</t>
  </si>
  <si>
    <t>DISPOSSESSES</t>
  </si>
  <si>
    <t>DISPOSSESSING</t>
  </si>
  <si>
    <t>DISPROPORTION</t>
  </si>
  <si>
    <t>DISPROPORTIONAL</t>
  </si>
  <si>
    <t>DISPROPORTIONATE</t>
  </si>
  <si>
    <t>DISPROPORTIONATELY</t>
  </si>
  <si>
    <t>DISPUTE</t>
  </si>
  <si>
    <t>DISPUTED</t>
  </si>
  <si>
    <t>DISPUTES</t>
  </si>
  <si>
    <t>DISPUTING</t>
  </si>
  <si>
    <t>DISQUALIFICATION</t>
  </si>
  <si>
    <t>DISQUALIFICATIONS</t>
  </si>
  <si>
    <t>DISQUALIFIED</t>
  </si>
  <si>
    <t>DISQUALIFIES</t>
  </si>
  <si>
    <t>DISQUALIFY</t>
  </si>
  <si>
    <t>DISQUALIFYING</t>
  </si>
  <si>
    <t>DISREGARD</t>
  </si>
  <si>
    <t>DISREGARDED</t>
  </si>
  <si>
    <t>DISREGARDING</t>
  </si>
  <si>
    <t>DISREGARDS</t>
  </si>
  <si>
    <t>DISREPUTABLE</t>
  </si>
  <si>
    <t>DISREPUTE</t>
  </si>
  <si>
    <t>DISRUPT</t>
  </si>
  <si>
    <t>DISRUPTED</t>
  </si>
  <si>
    <t>DISRUPTING</t>
  </si>
  <si>
    <t>DISRUPTION</t>
  </si>
  <si>
    <t>DISRUPTIONS</t>
  </si>
  <si>
    <t>DISRUPTIVE</t>
  </si>
  <si>
    <t>DISRUPTS</t>
  </si>
  <si>
    <t>DISSATISFACTION</t>
  </si>
  <si>
    <t>DISSATISFIED</t>
  </si>
  <si>
    <t>DISSENT</t>
  </si>
  <si>
    <t>DISSENTED</t>
  </si>
  <si>
    <t>DISSENTER</t>
  </si>
  <si>
    <t>DISSENTERS</t>
  </si>
  <si>
    <t>DISSENTING</t>
  </si>
  <si>
    <t>DISSENTS</t>
  </si>
  <si>
    <t>DISSIDENT</t>
  </si>
  <si>
    <t>DISSIDENTS</t>
  </si>
  <si>
    <t>DISSOLUTION</t>
  </si>
  <si>
    <t>DISSOLUTIONS</t>
  </si>
  <si>
    <t>Dissolved Natural Gas</t>
  </si>
  <si>
    <t>distillate fuel oil</t>
  </si>
  <si>
    <t>Distillates</t>
  </si>
  <si>
    <t>DISTINCTION</t>
  </si>
  <si>
    <t>DISTINCTIONS</t>
  </si>
  <si>
    <t>DISTINCTIVE</t>
  </si>
  <si>
    <t>DISTINCTIVELY</t>
  </si>
  <si>
    <t>DISTINCTIVENESS</t>
  </si>
  <si>
    <t>DISTORT</t>
  </si>
  <si>
    <t>DISTORTED</t>
  </si>
  <si>
    <t>DISTORTING</t>
  </si>
  <si>
    <t>DISTORTION</t>
  </si>
  <si>
    <t>DISTORTIONS</t>
  </si>
  <si>
    <t>DISTORTS</t>
  </si>
  <si>
    <t>DISTRACT</t>
  </si>
  <si>
    <t>DISTRACTED</t>
  </si>
  <si>
    <t>DISTRACTING</t>
  </si>
  <si>
    <t>DISTRACTION</t>
  </si>
  <si>
    <t>DISTRACTIONS</t>
  </si>
  <si>
    <t>DISTRACTS</t>
  </si>
  <si>
    <t>DISTRESS</t>
  </si>
  <si>
    <t>DISTRESSED</t>
  </si>
  <si>
    <t>DISTURB</t>
  </si>
  <si>
    <t>DISTURBANCE</t>
  </si>
  <si>
    <t>DISTURBANCES</t>
  </si>
  <si>
    <t>DISTURBED</t>
  </si>
  <si>
    <t>DISTURBING</t>
  </si>
  <si>
    <t>DISTURBS</t>
  </si>
  <si>
    <t>DIVERSION</t>
  </si>
  <si>
    <t>DIVERT</t>
  </si>
  <si>
    <t>DIVERTED</t>
  </si>
  <si>
    <t>DIVERTING</t>
  </si>
  <si>
    <t>DIVERTS</t>
  </si>
  <si>
    <t>DIVEST</t>
  </si>
  <si>
    <t>DIVESTED</t>
  </si>
  <si>
    <t>DIVESTING</t>
  </si>
  <si>
    <t>DIVESTITURE</t>
  </si>
  <si>
    <t>DIVESTITURES</t>
  </si>
  <si>
    <t>DIVESTMENT</t>
  </si>
  <si>
    <t>DIVESTMENTS</t>
  </si>
  <si>
    <t>DIVESTS</t>
  </si>
  <si>
    <t>division of labor</t>
  </si>
  <si>
    <t>DIVORCE</t>
  </si>
  <si>
    <t>DIVORCED</t>
  </si>
  <si>
    <t>DIVULGE</t>
  </si>
  <si>
    <t>DIVULGED</t>
  </si>
  <si>
    <t>DIVULGES</t>
  </si>
  <si>
    <t>DIVULGING</t>
  </si>
  <si>
    <t>Djeno</t>
  </si>
  <si>
    <t>do</t>
  </si>
  <si>
    <t>Doba</t>
  </si>
  <si>
    <t>does</t>
  </si>
  <si>
    <t>doing</t>
  </si>
  <si>
    <t>dollar drain</t>
  </si>
  <si>
    <t>dollar shortage</t>
  </si>
  <si>
    <t>domestic rate</t>
  </si>
  <si>
    <t>domini 400 social index</t>
  </si>
  <si>
    <t>dont</t>
  </si>
  <si>
    <t>Doroud</t>
  </si>
  <si>
    <t>double declining balance</t>
  </si>
  <si>
    <t>DOUBT</t>
  </si>
  <si>
    <t>DOUBTED</t>
  </si>
  <si>
    <t>DOUBTFUL</t>
  </si>
  <si>
    <t>DOUBTS</t>
  </si>
  <si>
    <t>Down hole</t>
  </si>
  <si>
    <t>DOWNGRADE</t>
  </si>
  <si>
    <t>DOWNGRADED</t>
  </si>
  <si>
    <t>DOWNGRADES</t>
  </si>
  <si>
    <t>DOWNGRADING</t>
  </si>
  <si>
    <t>DOWNSIZE</t>
  </si>
  <si>
    <t>DOWNSIZED</t>
  </si>
  <si>
    <t>DOWNSIZES</t>
  </si>
  <si>
    <t>DOWNSIZING</t>
  </si>
  <si>
    <t>DOWNSIZINGS</t>
  </si>
  <si>
    <t>Downstream</t>
  </si>
  <si>
    <t>DOWNTIME</t>
  </si>
  <si>
    <t>DOWNTIMES</t>
  </si>
  <si>
    <t>downturn</t>
  </si>
  <si>
    <t>DOWNTURNS</t>
  </si>
  <si>
    <t>DOWNWARD</t>
  </si>
  <si>
    <t>DOWNWARDS</t>
  </si>
  <si>
    <t>dowry</t>
  </si>
  <si>
    <t>dpo</t>
  </si>
  <si>
    <t>DRAG</t>
  </si>
  <si>
    <t>draining reserves</t>
  </si>
  <si>
    <t>DRASTIC</t>
  </si>
  <si>
    <t>DRASTICALLY</t>
  </si>
  <si>
    <t>Draugen</t>
  </si>
  <si>
    <t>DRAWBACK</t>
  </si>
  <si>
    <t>DRAWBACKS</t>
  </si>
  <si>
    <t>DREAM</t>
  </si>
  <si>
    <t>Drill bit</t>
  </si>
  <si>
    <t>Drill collars</t>
  </si>
  <si>
    <t>Drill cuttings</t>
  </si>
  <si>
    <t>Drill string</t>
  </si>
  <si>
    <t>Driller</t>
  </si>
  <si>
    <t>drilling</t>
  </si>
  <si>
    <t>Drilling Muds</t>
  </si>
  <si>
    <t>drilling platform</t>
  </si>
  <si>
    <t>Drilling Table</t>
  </si>
  <si>
    <t>Drill-string</t>
  </si>
  <si>
    <t>DROPPED</t>
  </si>
  <si>
    <t>DROUGHT</t>
  </si>
  <si>
    <t>DROUGHTS</t>
  </si>
  <si>
    <t>dry bulk commodity</t>
  </si>
  <si>
    <t>Dry Hole</t>
  </si>
  <si>
    <t>Dry Natural Gas</t>
  </si>
  <si>
    <t>dso</t>
  </si>
  <si>
    <t>Dual Completion</t>
  </si>
  <si>
    <t>Dubai</t>
  </si>
  <si>
    <t>DUC</t>
  </si>
  <si>
    <t>dukhan</t>
  </si>
  <si>
    <t>Dulang</t>
  </si>
  <si>
    <t>durable goods orders</t>
  </si>
  <si>
    <t>DURESS</t>
  </si>
  <si>
    <t>Duri</t>
  </si>
  <si>
    <t>dutch auction</t>
  </si>
  <si>
    <t>dutch disease</t>
  </si>
  <si>
    <t>dynamic open market operations</t>
  </si>
  <si>
    <t>DYSFUNCTION</t>
  </si>
  <si>
    <t>DYSFUNCTIONAL</t>
  </si>
  <si>
    <t>DYSFUNCTIONS</t>
  </si>
  <si>
    <t>EA Crude</t>
  </si>
  <si>
    <t>earned income</t>
  </si>
  <si>
    <t>earnings before interest and taxes</t>
  </si>
  <si>
    <t>earnings per share</t>
  </si>
  <si>
    <t>EASIER</t>
  </si>
  <si>
    <t>EASILY</t>
  </si>
  <si>
    <t>EASING</t>
  </si>
  <si>
    <t>east baghdad</t>
  </si>
  <si>
    <t>East MS Mix</t>
  </si>
  <si>
    <t>easttexas oil</t>
  </si>
  <si>
    <t>EASY</t>
  </si>
  <si>
    <t>easy monetary policy</t>
  </si>
  <si>
    <t>ebit</t>
  </si>
  <si>
    <t>ebit/da</t>
  </si>
  <si>
    <t>eci</t>
  </si>
  <si>
    <t>econometrics</t>
  </si>
  <si>
    <t>economic</t>
  </si>
  <si>
    <t>economic anxiety</t>
  </si>
  <si>
    <t>economic base</t>
  </si>
  <si>
    <t>economic calendar</t>
  </si>
  <si>
    <t>economic contraction</t>
  </si>
  <si>
    <t>economic cycle</t>
  </si>
  <si>
    <t>economic derivative</t>
  </si>
  <si>
    <t>economic growth</t>
  </si>
  <si>
    <t>economic growth rate</t>
  </si>
  <si>
    <t>economic indicator</t>
  </si>
  <si>
    <t>economic indicators</t>
  </si>
  <si>
    <t>economic moat</t>
  </si>
  <si>
    <t>economic order quantity</t>
  </si>
  <si>
    <t>economic outlook</t>
  </si>
  <si>
    <t>economic pearl harbor</t>
  </si>
  <si>
    <t>economic policy</t>
  </si>
  <si>
    <t>economic profit</t>
  </si>
  <si>
    <t>economic recovery</t>
  </si>
  <si>
    <t>economic recovery tax act of 1981</t>
  </si>
  <si>
    <t>economic risk</t>
  </si>
  <si>
    <t>economic sanctions</t>
  </si>
  <si>
    <t>economic surplus</t>
  </si>
  <si>
    <t>economic value added</t>
  </si>
  <si>
    <t>economical</t>
  </si>
  <si>
    <t>economics</t>
  </si>
  <si>
    <t>economist</t>
  </si>
  <si>
    <t>economy</t>
  </si>
  <si>
    <t>ecopetrol</t>
  </si>
  <si>
    <t>ed</t>
  </si>
  <si>
    <t>edge act</t>
  </si>
  <si>
    <t>eds</t>
  </si>
  <si>
    <t>EFFECTIVE</t>
  </si>
  <si>
    <t>EFFICIENCIES</t>
  </si>
  <si>
    <t>efficiency</t>
  </si>
  <si>
    <t>EFFICIENCY</t>
  </si>
  <si>
    <t>EFFICIENT</t>
  </si>
  <si>
    <t>EFFICIENTLY</t>
  </si>
  <si>
    <t>EGREGIOUS</t>
  </si>
  <si>
    <t>EGREGIOUSLY</t>
  </si>
  <si>
    <t>either</t>
  </si>
  <si>
    <t>Ekofisk Blend</t>
  </si>
  <si>
    <t>ekofiskoil</t>
  </si>
  <si>
    <t>El Sharara</t>
  </si>
  <si>
    <t>elastic</t>
  </si>
  <si>
    <t>elasticity</t>
  </si>
  <si>
    <t>Elevator</t>
  </si>
  <si>
    <t>elkhills</t>
  </si>
  <si>
    <t>EMBARGO</t>
  </si>
  <si>
    <t>EMBARGOED</t>
  </si>
  <si>
    <t>EMBARGOES</t>
  </si>
  <si>
    <t>EMBARGOING</t>
  </si>
  <si>
    <t>EMBARRASS</t>
  </si>
  <si>
    <t>EMBARRASSED</t>
  </si>
  <si>
    <t>EMBARRASSES</t>
  </si>
  <si>
    <t>EMBARRASSING</t>
  </si>
  <si>
    <t>EMBARRASSMENT</t>
  </si>
  <si>
    <t>EMBARRASSMENTS</t>
  </si>
  <si>
    <t>EMBEZZLE</t>
  </si>
  <si>
    <t>EMBEZZLED</t>
  </si>
  <si>
    <t>EMBEZZLEMENT</t>
  </si>
  <si>
    <t>EMBEZZLEMENTS</t>
  </si>
  <si>
    <t>EMBEZZLER</t>
  </si>
  <si>
    <t>EMBEZZLES</t>
  </si>
  <si>
    <t>EMBEZZLING</t>
  </si>
  <si>
    <t>emergency economic stabilization act</t>
  </si>
  <si>
    <t>employer cost index</t>
  </si>
  <si>
    <t>employment cost index</t>
  </si>
  <si>
    <t>employment report</t>
  </si>
  <si>
    <t>EMPOWER</t>
  </si>
  <si>
    <t>EMPOWERED</t>
  </si>
  <si>
    <t>EMPOWERING</t>
  </si>
  <si>
    <t>EMPOWERS</t>
  </si>
  <si>
    <t xml:space="preserve">Emulsifier </t>
  </si>
  <si>
    <t>Emulsion</t>
  </si>
  <si>
    <t>Emulsion Treater</t>
  </si>
  <si>
    <t>ENABLE</t>
  </si>
  <si>
    <t>ENABLED</t>
  </si>
  <si>
    <t>ENABLES</t>
  </si>
  <si>
    <t>ENABLING</t>
  </si>
  <si>
    <t>ENCOURAGED</t>
  </si>
  <si>
    <t>ENCOURAGEMENT</t>
  </si>
  <si>
    <t>ENCOURAGES</t>
  </si>
  <si>
    <t>ENCOURAGING</t>
  </si>
  <si>
    <t>ENCROACH</t>
  </si>
  <si>
    <t>ENCROACHED</t>
  </si>
  <si>
    <t>ENCROACHES</t>
  </si>
  <si>
    <t>ENCROACHING</t>
  </si>
  <si>
    <t>ENCROACHMENT</t>
  </si>
  <si>
    <t>ENCROACHMENTS</t>
  </si>
  <si>
    <t>ENCUMBER</t>
  </si>
  <si>
    <t>ENCUMBERED</t>
  </si>
  <si>
    <t>ENCUMBERING</t>
  </si>
  <si>
    <t>ENCUMBERS</t>
  </si>
  <si>
    <t>ENCUMBRANCE</t>
  </si>
  <si>
    <t>ENCUMBRANCES</t>
  </si>
  <si>
    <t xml:space="preserve">End point </t>
  </si>
  <si>
    <t>ENDANGER</t>
  </si>
  <si>
    <t>ENDANGERED</t>
  </si>
  <si>
    <t>ENDANGERING</t>
  </si>
  <si>
    <t>ENDANGERMENT</t>
  </si>
  <si>
    <t>ENDANGERS</t>
  </si>
  <si>
    <t>energizing stimulus</t>
  </si>
  <si>
    <t>Enfield</t>
  </si>
  <si>
    <t>ENHANCE</t>
  </si>
  <si>
    <t>ENHANCED</t>
  </si>
  <si>
    <t>Enhanced reach</t>
  </si>
  <si>
    <t>Enhanced Recovery</t>
  </si>
  <si>
    <t>ENHANCEMENT</t>
  </si>
  <si>
    <t>ENHANCEMENTS</t>
  </si>
  <si>
    <t>ENHANCES</t>
  </si>
  <si>
    <t>ENHANCING</t>
  </si>
  <si>
    <t>eni</t>
  </si>
  <si>
    <t>eni libya</t>
  </si>
  <si>
    <t>ENJOIN</t>
  </si>
  <si>
    <t>ENJOINED</t>
  </si>
  <si>
    <t>ENJOINING</t>
  </si>
  <si>
    <t>ENJOINS</t>
  </si>
  <si>
    <t>ENJOY</t>
  </si>
  <si>
    <t>ENJOYABLE</t>
  </si>
  <si>
    <t>ENJOYABLY</t>
  </si>
  <si>
    <t>ENJOYED</t>
  </si>
  <si>
    <t>ENJOYING</t>
  </si>
  <si>
    <t>ENJOYMENT</t>
  </si>
  <si>
    <t>ENJOYS</t>
  </si>
  <si>
    <t>ENTHUSIASM</t>
  </si>
  <si>
    <t>ENTHUSIASTIC</t>
  </si>
  <si>
    <t>ENTHUSIASTICALLY</t>
  </si>
  <si>
    <t>entry barrier</t>
  </si>
  <si>
    <t>eoq</t>
  </si>
  <si>
    <t>eps</t>
  </si>
  <si>
    <t>equilibrium</t>
  </si>
  <si>
    <t>equilibrium price</t>
  </si>
  <si>
    <t>equilibrium quantity</t>
  </si>
  <si>
    <t>equities</t>
  </si>
  <si>
    <t>equity</t>
  </si>
  <si>
    <t>equity capital</t>
  </si>
  <si>
    <t>equity injection</t>
  </si>
  <si>
    <t>equity market</t>
  </si>
  <si>
    <t>Erha</t>
  </si>
  <si>
    <t>ERODE</t>
  </si>
  <si>
    <t>ERODED</t>
  </si>
  <si>
    <t>ERODES</t>
  </si>
  <si>
    <t>ERODING</t>
  </si>
  <si>
    <t>EROSION</t>
  </si>
  <si>
    <t>ERRATIC</t>
  </si>
  <si>
    <t>ERRATICALLY</t>
  </si>
  <si>
    <t>ERRED</t>
  </si>
  <si>
    <t>ERRING</t>
  </si>
  <si>
    <t>ERRONEOUS</t>
  </si>
  <si>
    <t>ERRONEOUSLY</t>
  </si>
  <si>
    <t>ERROR</t>
  </si>
  <si>
    <t>ERRORS</t>
  </si>
  <si>
    <t>ERRS</t>
  </si>
  <si>
    <t>Escalante</t>
  </si>
  <si>
    <t>ESCALATE</t>
  </si>
  <si>
    <t>ESCALATED</t>
  </si>
  <si>
    <t>ESCALATES</t>
  </si>
  <si>
    <t>ESCALATING</t>
  </si>
  <si>
    <t>Escravos</t>
  </si>
  <si>
    <t>esfandiar</t>
  </si>
  <si>
    <t>ESPO blend</t>
  </si>
  <si>
    <t>essar</t>
  </si>
  <si>
    <t>essar refinery</t>
  </si>
  <si>
    <t>esso</t>
  </si>
  <si>
    <t>et</t>
  </si>
  <si>
    <t>Eugene Island</t>
  </si>
  <si>
    <t>european commodity clearing</t>
  </si>
  <si>
    <t>european option</t>
  </si>
  <si>
    <t>eva</t>
  </si>
  <si>
    <t>EVADE</t>
  </si>
  <si>
    <t>EVADED</t>
  </si>
  <si>
    <t>EVADES</t>
  </si>
  <si>
    <t>EVADING</t>
  </si>
  <si>
    <t>EVASION</t>
  </si>
  <si>
    <t>EVASIONS</t>
  </si>
  <si>
    <t>EVASIVE</t>
  </si>
  <si>
    <t>even</t>
  </si>
  <si>
    <t>EVICT</t>
  </si>
  <si>
    <t>EVICTED</t>
  </si>
  <si>
    <t>EVICTING</t>
  </si>
  <si>
    <t>EVICTION</t>
  </si>
  <si>
    <t>EVICTIONS</t>
  </si>
  <si>
    <t>EVICTS</t>
  </si>
  <si>
    <t>EXACERBATE</t>
  </si>
  <si>
    <t>EXACERBATED</t>
  </si>
  <si>
    <t>EXACERBATES</t>
  </si>
  <si>
    <t>EXACERBATING</t>
  </si>
  <si>
    <t>EXACERBATION</t>
  </si>
  <si>
    <t>EXACERBATIONS</t>
  </si>
  <si>
    <t>EXAGGERATE</t>
  </si>
  <si>
    <t>EXAGGERATED</t>
  </si>
  <si>
    <t>EXAGGERATES</t>
  </si>
  <si>
    <t>EXAGGERATING</t>
  </si>
  <si>
    <t>EXAGGERATION</t>
  </si>
  <si>
    <t>EXCELLENCE</t>
  </si>
  <si>
    <t>EXCELLENT</t>
  </si>
  <si>
    <t>EXCELLING</t>
  </si>
  <si>
    <t>EXCELS</t>
  </si>
  <si>
    <t>EXCEPTIONAL</t>
  </si>
  <si>
    <t>EXCEPTIONALLY</t>
  </si>
  <si>
    <t>EXCESSIVE</t>
  </si>
  <si>
    <t>EXCESSIVELY</t>
  </si>
  <si>
    <t>exchange of futures for physical</t>
  </si>
  <si>
    <t>exchange of futures for swaps</t>
  </si>
  <si>
    <t>exchange option</t>
  </si>
  <si>
    <t>exchange traded option</t>
  </si>
  <si>
    <t>EXCITED</t>
  </si>
  <si>
    <t>EXCITEMENT</t>
  </si>
  <si>
    <t>EXCITING</t>
  </si>
  <si>
    <t>EXCLUSIVE</t>
  </si>
  <si>
    <t>EXCLUSIVELY</t>
  </si>
  <si>
    <t>EXCLUSIVENESS</t>
  </si>
  <si>
    <t>EXCLUSIVES</t>
  </si>
  <si>
    <t>EXCLUSIVITY</t>
  </si>
  <si>
    <t>EXCULPATE</t>
  </si>
  <si>
    <t>EXCULPATED</t>
  </si>
  <si>
    <t>EXCULPATES</t>
  </si>
  <si>
    <t>EXCULPATING</t>
  </si>
  <si>
    <t>EXCULPATION</t>
  </si>
  <si>
    <t>EXCULPATIONS</t>
  </si>
  <si>
    <t>EXCULPATORY</t>
  </si>
  <si>
    <t>EXEMPLARY</t>
  </si>
  <si>
    <t>ex-food and energy</t>
  </si>
  <si>
    <t>existing home sales</t>
  </si>
  <si>
    <t>EXONERATE</t>
  </si>
  <si>
    <t>EXONERATED</t>
  </si>
  <si>
    <t>EXONERATES</t>
  </si>
  <si>
    <t>EXONERATING</t>
  </si>
  <si>
    <t>EXONERATION</t>
  </si>
  <si>
    <t>EXONERATIONS</t>
  </si>
  <si>
    <t>exotic option</t>
  </si>
  <si>
    <t>expectations index</t>
  </si>
  <si>
    <t>expectations theory</t>
  </si>
  <si>
    <t>EXPLOIT</t>
  </si>
  <si>
    <t>EXPLOITATION</t>
  </si>
  <si>
    <t>EXPLOITATIONS</t>
  </si>
  <si>
    <t>EXPLOITATIVE</t>
  </si>
  <si>
    <t>EXPLOITED</t>
  </si>
  <si>
    <t>EXPLOITING</t>
  </si>
  <si>
    <t>EXPLOITS</t>
  </si>
  <si>
    <t>exploration block</t>
  </si>
  <si>
    <t>exploration blocks</t>
  </si>
  <si>
    <t>exploration well</t>
  </si>
  <si>
    <t>export/import prices</t>
  </si>
  <si>
    <t>EXPOSE</t>
  </si>
  <si>
    <t>EXPOSED</t>
  </si>
  <si>
    <t>EXPOSES</t>
  </si>
  <si>
    <t>EXPOSING</t>
  </si>
  <si>
    <t>EXPROPRIATE</t>
  </si>
  <si>
    <t>EXPROPRIATED</t>
  </si>
  <si>
    <t>EXPROPRIATES</t>
  </si>
  <si>
    <t>EXPROPRIATING</t>
  </si>
  <si>
    <t>EXPROPRIATION</t>
  </si>
  <si>
    <t>EXPROPRIATIONS</t>
  </si>
  <si>
    <t>EXPULSION</t>
  </si>
  <si>
    <t>EXPULSIONS</t>
  </si>
  <si>
    <t>extended broad money</t>
  </si>
  <si>
    <t>EXTENUATING</t>
  </si>
  <si>
    <t>externality</t>
  </si>
  <si>
    <t>exxon</t>
  </si>
  <si>
    <t>exxon mobil</t>
  </si>
  <si>
    <t>exxonmobil</t>
  </si>
  <si>
    <t xml:space="preserve">ExxonMobil </t>
  </si>
  <si>
    <t>f.o.b. mine price</t>
  </si>
  <si>
    <t>factor analysis</t>
  </si>
  <si>
    <t>factor market</t>
  </si>
  <si>
    <t>factors of production</t>
  </si>
  <si>
    <t>factory orders</t>
  </si>
  <si>
    <t>FAIL</t>
  </si>
  <si>
    <t>FAILED</t>
  </si>
  <si>
    <t>FAILING</t>
  </si>
  <si>
    <t>FAILINGS</t>
  </si>
  <si>
    <t>FAILS</t>
  </si>
  <si>
    <t>FAILURE</t>
  </si>
  <si>
    <t>FAILURES</t>
  </si>
  <si>
    <t>fair price</t>
  </si>
  <si>
    <t>fair trade act</t>
  </si>
  <si>
    <t>FALLOUT</t>
  </si>
  <si>
    <t>FALSELY</t>
  </si>
  <si>
    <t>FALSIFICATION</t>
  </si>
  <si>
    <t>FALSIFICATIONS</t>
  </si>
  <si>
    <t>FALSIFIED</t>
  </si>
  <si>
    <t>FALSIFIES</t>
  </si>
  <si>
    <t>FALSIFY</t>
  </si>
  <si>
    <t>FALSIFYING</t>
  </si>
  <si>
    <t>FALSITY</t>
  </si>
  <si>
    <t>FANTASTIC</t>
  </si>
  <si>
    <t>Farm-in</t>
  </si>
  <si>
    <t>faroozan-marjan</t>
  </si>
  <si>
    <t>fast market</t>
  </si>
  <si>
    <t>FATALITIES</t>
  </si>
  <si>
    <t>FATALITY</t>
  </si>
  <si>
    <t>FATALLY</t>
  </si>
  <si>
    <t>Fateh</t>
  </si>
  <si>
    <t>FAULT</t>
  </si>
  <si>
    <t>FAULTED</t>
  </si>
  <si>
    <t>FAULTS</t>
  </si>
  <si>
    <t>FAULTY</t>
  </si>
  <si>
    <t>FAVORABLE</t>
  </si>
  <si>
    <t>favorable balance of trade</t>
  </si>
  <si>
    <t>FAVORABLY</t>
  </si>
  <si>
    <t>FAVORED</t>
  </si>
  <si>
    <t>FAVORING</t>
  </si>
  <si>
    <t>FAVORITE</t>
  </si>
  <si>
    <t>FAVORITES</t>
  </si>
  <si>
    <t>fawley southampton refinery</t>
  </si>
  <si>
    <t>FEAR</t>
  </si>
  <si>
    <t>FEARS</t>
  </si>
  <si>
    <t>feb</t>
  </si>
  <si>
    <t>february</t>
  </si>
  <si>
    <t>fed</t>
  </si>
  <si>
    <t>fed bias</t>
  </si>
  <si>
    <t>fed chairman</t>
  </si>
  <si>
    <t>fed pass</t>
  </si>
  <si>
    <t>fed speak</t>
  </si>
  <si>
    <t>federal debt</t>
  </si>
  <si>
    <t>federal deficit</t>
  </si>
  <si>
    <t>federal energy regulatory commission</t>
  </si>
  <si>
    <t>federal funds rate</t>
  </si>
  <si>
    <t>federal open market committee</t>
  </si>
  <si>
    <t>federal reserve</t>
  </si>
  <si>
    <t>federal reserve bank</t>
  </si>
  <si>
    <t>federal reserve board</t>
  </si>
  <si>
    <t>federal reserve discount rate</t>
  </si>
  <si>
    <t>federal reserve requirement</t>
  </si>
  <si>
    <t>federal reserve system</t>
  </si>
  <si>
    <t>federal reserve wire network</t>
  </si>
  <si>
    <t>federal surplus</t>
  </si>
  <si>
    <t>federal trade commission</t>
  </si>
  <si>
    <t>federal unemployment tax act</t>
  </si>
  <si>
    <t>FELONIES</t>
  </si>
  <si>
    <t>FELONIOUS</t>
  </si>
  <si>
    <t>FELONY</t>
  </si>
  <si>
    <t>ferdows/mound/zagheh</t>
  </si>
  <si>
    <t>fiat currency</t>
  </si>
  <si>
    <t>FICTITIOUS</t>
  </si>
  <si>
    <t>Field Natural Gas</t>
  </si>
  <si>
    <t>Field Nomenclature</t>
  </si>
  <si>
    <t>Fieldgate</t>
  </si>
  <si>
    <t>Fife</t>
  </si>
  <si>
    <t>fifo</t>
  </si>
  <si>
    <t>finance terms</t>
  </si>
  <si>
    <t>financial</t>
  </si>
  <si>
    <t>financial crisis</t>
  </si>
  <si>
    <t>financial forecasting</t>
  </si>
  <si>
    <t>financial risk</t>
  </si>
  <si>
    <t>FINED</t>
  </si>
  <si>
    <t>FINES</t>
  </si>
  <si>
    <t>finished goods</t>
  </si>
  <si>
    <t>fire flooding</t>
  </si>
  <si>
    <t>FIRED</t>
  </si>
  <si>
    <t>FIRING</t>
  </si>
  <si>
    <t xml:space="preserve">first in, first out </t>
  </si>
  <si>
    <t>fiscal</t>
  </si>
  <si>
    <t>fiscal package</t>
  </si>
  <si>
    <t>fiscal policy</t>
  </si>
  <si>
    <t>fiscal year</t>
  </si>
  <si>
    <t>fiscal year end</t>
  </si>
  <si>
    <t>Fish</t>
  </si>
  <si>
    <t>fisher effect</t>
  </si>
  <si>
    <t>fisher separation theorem</t>
  </si>
  <si>
    <t>fixed assets</t>
  </si>
  <si>
    <t>fixed assets to tangible equity ratio</t>
  </si>
  <si>
    <t>fixed costs</t>
  </si>
  <si>
    <t>fixed currency</t>
  </si>
  <si>
    <t>Flare Stack</t>
  </si>
  <si>
    <t>Flaring and venting</t>
  </si>
  <si>
    <t xml:space="preserve">Flash point </t>
  </si>
  <si>
    <t>FLAW</t>
  </si>
  <si>
    <t>FLAWED</t>
  </si>
  <si>
    <t>FLAWS</t>
  </si>
  <si>
    <t>flexible expense</t>
  </si>
  <si>
    <t>flint hills resources</t>
  </si>
  <si>
    <t>flinthills</t>
  </si>
  <si>
    <t>Floorhand</t>
  </si>
  <si>
    <t>Flotta</t>
  </si>
  <si>
    <t>Foinaven</t>
  </si>
  <si>
    <t>fomc</t>
  </si>
  <si>
    <t>fool in the shower</t>
  </si>
  <si>
    <t>for</t>
  </si>
  <si>
    <t>FORBID</t>
  </si>
  <si>
    <t>FORBIDDEN</t>
  </si>
  <si>
    <t>FORBIDDING</t>
  </si>
  <si>
    <t>FORBIDS</t>
  </si>
  <si>
    <t>Forcados</t>
  </si>
  <si>
    <t>FORCE</t>
  </si>
  <si>
    <t>FORCED</t>
  </si>
  <si>
    <t>FORCING</t>
  </si>
  <si>
    <t>forecast period</t>
  </si>
  <si>
    <t>forecast start date</t>
  </si>
  <si>
    <t>forecast year</t>
  </si>
  <si>
    <t>forecasting</t>
  </si>
  <si>
    <t>FORECLOSE</t>
  </si>
  <si>
    <t>FORECLOSED</t>
  </si>
  <si>
    <t>FORECLOSES</t>
  </si>
  <si>
    <t>FORECLOSING</t>
  </si>
  <si>
    <t>FORECLOSURE</t>
  </si>
  <si>
    <t>FORECLOSURES</t>
  </si>
  <si>
    <t>FOREGO</t>
  </si>
  <si>
    <t>FOREGOES</t>
  </si>
  <si>
    <t>FOREGOING</t>
  </si>
  <si>
    <t>FOREGONE</t>
  </si>
  <si>
    <t>foreign debt</t>
  </si>
  <si>
    <t>foreign exchange reserve</t>
  </si>
  <si>
    <t>foreign trade multiplier</t>
  </si>
  <si>
    <t>FORESTALL</t>
  </si>
  <si>
    <t>FORESTALLED</t>
  </si>
  <si>
    <t>FORESTALLING</t>
  </si>
  <si>
    <t>FORESTALLS</t>
  </si>
  <si>
    <t>FORFEIT</t>
  </si>
  <si>
    <t>FORFEITED</t>
  </si>
  <si>
    <t>FORFEITING</t>
  </si>
  <si>
    <t>FORFEITS</t>
  </si>
  <si>
    <t>FORFEITURE</t>
  </si>
  <si>
    <t>FORFEITURES</t>
  </si>
  <si>
    <t>FORGERS</t>
  </si>
  <si>
    <t>FORGERY</t>
  </si>
  <si>
    <t>Foroozan Blend</t>
  </si>
  <si>
    <t>Forties Blend</t>
  </si>
  <si>
    <t>fortiesoil</t>
  </si>
  <si>
    <t>forward buying</t>
  </si>
  <si>
    <t>forward rate</t>
  </si>
  <si>
    <t>forward start option</t>
  </si>
  <si>
    <t>forward swap</t>
  </si>
  <si>
    <t>FPSO</t>
  </si>
  <si>
    <t>Frac job</t>
  </si>
  <si>
    <t>fractional reserve banking</t>
  </si>
  <si>
    <t>france</t>
  </si>
  <si>
    <t>FRAUD</t>
  </si>
  <si>
    <t>FRAUDS</t>
  </si>
  <si>
    <t>FRAUDULENCE</t>
  </si>
  <si>
    <t>FRAUDULENT</t>
  </si>
  <si>
    <t>FRAUDULENTLY</t>
  </si>
  <si>
    <t>free enterprise</t>
  </si>
  <si>
    <t>free market</t>
  </si>
  <si>
    <t>free market price</t>
  </si>
  <si>
    <t>free on board mine price</t>
  </si>
  <si>
    <t>free trade</t>
  </si>
  <si>
    <t>FRIENDLY</t>
  </si>
  <si>
    <t>FRIVOLOUS</t>
  </si>
  <si>
    <t>FRIVOLOUSLY</t>
  </si>
  <si>
    <t>from</t>
  </si>
  <si>
    <t>FRUSTRATE</t>
  </si>
  <si>
    <t>FRUSTRATED</t>
  </si>
  <si>
    <t>FRUSTRATES</t>
  </si>
  <si>
    <t>FRUSTRATING</t>
  </si>
  <si>
    <t>FRUSTRATINGLY</t>
  </si>
  <si>
    <t>FRUSTRATION</t>
  </si>
  <si>
    <t>FRUSTRATIONS</t>
  </si>
  <si>
    <t>ftc</t>
  </si>
  <si>
    <t>fuel oil</t>
  </si>
  <si>
    <t>FUGITIVE</t>
  </si>
  <si>
    <t>FUGITIVES</t>
  </si>
  <si>
    <t>Fulmar</t>
  </si>
  <si>
    <t>fundamental analysis</t>
  </si>
  <si>
    <t>Furrial</t>
  </si>
  <si>
    <t>futures commission merchant</t>
  </si>
  <si>
    <t>futures contract</t>
  </si>
  <si>
    <t>futures equivalent</t>
  </si>
  <si>
    <t>futures market</t>
  </si>
  <si>
    <t>fyodorovskoye</t>
  </si>
  <si>
    <t>g24</t>
  </si>
  <si>
    <t>g5</t>
  </si>
  <si>
    <t>g-7</t>
  </si>
  <si>
    <t>gaap</t>
  </si>
  <si>
    <t>gachsaran</t>
  </si>
  <si>
    <t>GAIN</t>
  </si>
  <si>
    <t>GAINED</t>
  </si>
  <si>
    <t>GAINING</t>
  </si>
  <si>
    <t>GAINS</t>
  </si>
  <si>
    <t>Galeota Mix</t>
  </si>
  <si>
    <t>gao</t>
  </si>
  <si>
    <t>gas</t>
  </si>
  <si>
    <t>Gas Cap</t>
  </si>
  <si>
    <t>Gas field</t>
  </si>
  <si>
    <t>Gas gathering system</t>
  </si>
  <si>
    <t>Gas Injection</t>
  </si>
  <si>
    <t>Gas lift</t>
  </si>
  <si>
    <t>Gas Oil</t>
  </si>
  <si>
    <t>Gas Oil Ratio</t>
  </si>
  <si>
    <t>Gas Plant Condensate</t>
  </si>
  <si>
    <t>Gas Processing</t>
  </si>
  <si>
    <t>Gas Treatment</t>
  </si>
  <si>
    <t>gasoil</t>
  </si>
  <si>
    <t>gasoline</t>
  </si>
  <si>
    <t>Gas-to-Oil Ratio</t>
  </si>
  <si>
    <t>gatt</t>
  </si>
  <si>
    <t>gave</t>
  </si>
  <si>
    <t>gazprom</t>
  </si>
  <si>
    <t xml:space="preserve">gazprom neft </t>
  </si>
  <si>
    <t>gdp</t>
  </si>
  <si>
    <t>gdp deflator</t>
  </si>
  <si>
    <t>gdp implicit price deflator</t>
  </si>
  <si>
    <t>gdp per capita</t>
  </si>
  <si>
    <t>general agreement on tariffs and trade</t>
  </si>
  <si>
    <t>general motors indicator</t>
  </si>
  <si>
    <t>Geophysics</t>
  </si>
  <si>
    <t>germany</t>
  </si>
  <si>
    <t>ghawar</t>
  </si>
  <si>
    <t>Ginzel</t>
  </si>
  <si>
    <t>Gippsland</t>
  </si>
  <si>
    <t>Girassol</t>
  </si>
  <si>
    <t>give</t>
  </si>
  <si>
    <t>given</t>
  </si>
  <si>
    <t>Glitne</t>
  </si>
  <si>
    <t>global crowding out</t>
  </si>
  <si>
    <t>global financial centres index</t>
  </si>
  <si>
    <t>global squeeze</t>
  </si>
  <si>
    <t>gnp</t>
  </si>
  <si>
    <t>gnp deflator</t>
  </si>
  <si>
    <t>gnp gap</t>
  </si>
  <si>
    <t>go</t>
  </si>
  <si>
    <t>goes</t>
  </si>
  <si>
    <t>going</t>
  </si>
  <si>
    <t>gold</t>
  </si>
  <si>
    <t>goldilocks economy</t>
  </si>
  <si>
    <t>gone</t>
  </si>
  <si>
    <t>GOOD</t>
  </si>
  <si>
    <t>goods</t>
  </si>
  <si>
    <t>goodwill</t>
  </si>
  <si>
    <t>got</t>
  </si>
  <si>
    <t>gotten</t>
  </si>
  <si>
    <t>government accountability office</t>
  </si>
  <si>
    <t>government expenditure</t>
  </si>
  <si>
    <t>government stimulus</t>
  </si>
  <si>
    <t>Grane</t>
  </si>
  <si>
    <t>GRATUITOUS</t>
  </si>
  <si>
    <t>GRATUITOUSLY</t>
  </si>
  <si>
    <t xml:space="preserve">Gravity </t>
  </si>
  <si>
    <t>Gravity Structures</t>
  </si>
  <si>
    <t>Gravity surveys</t>
  </si>
  <si>
    <t>GREAT</t>
  </si>
  <si>
    <t>great depression</t>
  </si>
  <si>
    <t>GREATER</t>
  </si>
  <si>
    <t>GREATEST</t>
  </si>
  <si>
    <t>GREATLY</t>
  </si>
  <si>
    <t>GREATNESS</t>
  </si>
  <si>
    <t>green shoots</t>
  </si>
  <si>
    <t>GRIEVANCE</t>
  </si>
  <si>
    <t>GRIEVANCES</t>
  </si>
  <si>
    <t>gross domestic product</t>
  </si>
  <si>
    <t>gross margin</t>
  </si>
  <si>
    <t>gross national debt</t>
  </si>
  <si>
    <t>gross national income</t>
  </si>
  <si>
    <t>gross national product</t>
  </si>
  <si>
    <t>gross sales</t>
  </si>
  <si>
    <t>GROSSLY</t>
  </si>
  <si>
    <t>GROUNDLESS</t>
  </si>
  <si>
    <t>group of five euro</t>
  </si>
  <si>
    <t>group of twenty-four</t>
  </si>
  <si>
    <t>group rotation</t>
  </si>
  <si>
    <t>growth recession</t>
  </si>
  <si>
    <t>Gryphon</t>
  </si>
  <si>
    <t xml:space="preserve">gs caltex </t>
  </si>
  <si>
    <t>guangzhou branch refinery</t>
  </si>
  <si>
    <t>GUILTY</t>
  </si>
  <si>
    <t>gullfaks</t>
  </si>
  <si>
    <t>Gullfaks Blend</t>
  </si>
  <si>
    <t xml:space="preserve">h?ctor r lara sosa </t>
  </si>
  <si>
    <t>had</t>
  </si>
  <si>
    <t>halfaya</t>
  </si>
  <si>
    <t>halibut</t>
  </si>
  <si>
    <t>HALT</t>
  </si>
  <si>
    <t>HALTED</t>
  </si>
  <si>
    <t>HAMPER</t>
  </si>
  <si>
    <t>HAMPERED</t>
  </si>
  <si>
    <t>HAMPERING</t>
  </si>
  <si>
    <t>HAMPERS</t>
  </si>
  <si>
    <t>Handil Mix</t>
  </si>
  <si>
    <t>Hanger</t>
  </si>
  <si>
    <t>Hanze</t>
  </si>
  <si>
    <t>HAPPIEST</t>
  </si>
  <si>
    <t>HAPPILY</t>
  </si>
  <si>
    <t>HAPPINESS</t>
  </si>
  <si>
    <t>HAPPY</t>
  </si>
  <si>
    <t>HARASS</t>
  </si>
  <si>
    <t>HARASSED</t>
  </si>
  <si>
    <t>HARASSING</t>
  </si>
  <si>
    <t>HARASSMENT</t>
  </si>
  <si>
    <t>hard commodity</t>
  </si>
  <si>
    <t>hard currency</t>
  </si>
  <si>
    <t>hard landing</t>
  </si>
  <si>
    <t>Harding</t>
  </si>
  <si>
    <t>HARDSHIP</t>
  </si>
  <si>
    <t>HARDSHIPS</t>
  </si>
  <si>
    <t>HARM</t>
  </si>
  <si>
    <t>HARMED</t>
  </si>
  <si>
    <t>HARMFUL</t>
  </si>
  <si>
    <t>HARMFULLY</t>
  </si>
  <si>
    <t>HARMING</t>
  </si>
  <si>
    <t>HARMS</t>
  </si>
  <si>
    <t>HARSH</t>
  </si>
  <si>
    <t>HARSHER</t>
  </si>
  <si>
    <t>HARSHEST</t>
  </si>
  <si>
    <t>HARSHLY</t>
  </si>
  <si>
    <t>HARSHNESS</t>
  </si>
  <si>
    <t>has</t>
  </si>
  <si>
    <t>hassi messaoud</t>
  </si>
  <si>
    <t>have</t>
  </si>
  <si>
    <t>hawkish</t>
  </si>
  <si>
    <t>HAZARD</t>
  </si>
  <si>
    <t>HAZARDOUS</t>
  </si>
  <si>
    <t>HAZARDS</t>
  </si>
  <si>
    <t>he</t>
  </si>
  <si>
    <t>headline inflation</t>
  </si>
  <si>
    <t>headline risk</t>
  </si>
  <si>
    <t>health economics</t>
  </si>
  <si>
    <t>Heater Treater</t>
  </si>
  <si>
    <t>Heavy Crude Oil</t>
  </si>
  <si>
    <t>Heavy Hardisty</t>
  </si>
  <si>
    <t>Heavy Louisiana Sweet</t>
  </si>
  <si>
    <t>heavy oil</t>
  </si>
  <si>
    <t>Heavy Oil and Crude Bitumen Production</t>
  </si>
  <si>
    <t>hedge accounting</t>
  </si>
  <si>
    <t>hedge fund</t>
  </si>
  <si>
    <t>hedge ratio</t>
  </si>
  <si>
    <t>hedgelet</t>
  </si>
  <si>
    <t>hedging contract</t>
  </si>
  <si>
    <t>Heidrun</t>
  </si>
  <si>
    <t>her</t>
  </si>
  <si>
    <t>herself</t>
  </si>
  <si>
    <t>hess corp</t>
  </si>
  <si>
    <t>hess corporation</t>
  </si>
  <si>
    <t>hibernia</t>
  </si>
  <si>
    <t>High Vapour Pressure Hydrocarbon</t>
  </si>
  <si>
    <t>HIGHEST</t>
  </si>
  <si>
    <t>him</t>
  </si>
  <si>
    <t>himself</t>
  </si>
  <si>
    <t>HINDER</t>
  </si>
  <si>
    <t>HINDERED</t>
  </si>
  <si>
    <t>HINDERING</t>
  </si>
  <si>
    <t>HINDERS</t>
  </si>
  <si>
    <t>HINDRANCE</t>
  </si>
  <si>
    <t>HINDRANCES</t>
  </si>
  <si>
    <t>his</t>
  </si>
  <si>
    <t>historical volatility</t>
  </si>
  <si>
    <t>holland</t>
  </si>
  <si>
    <t>home up</t>
  </si>
  <si>
    <t>HONOR</t>
  </si>
  <si>
    <t>HONORABLE</t>
  </si>
  <si>
    <t>HONORED</t>
  </si>
  <si>
    <t>HONORING</t>
  </si>
  <si>
    <t>HONORS</t>
  </si>
  <si>
    <t>Horizontal Drilling</t>
  </si>
  <si>
    <t>Horizontal well</t>
  </si>
  <si>
    <t>HOSTILE</t>
  </si>
  <si>
    <t>HOSTILITY</t>
  </si>
  <si>
    <t>hour-ahead market</t>
  </si>
  <si>
    <t>housing starts</t>
  </si>
  <si>
    <t>hovensa</t>
  </si>
  <si>
    <t>how</t>
  </si>
  <si>
    <t>however</t>
  </si>
  <si>
    <t>http</t>
  </si>
  <si>
    <t>Hungo Blend</t>
  </si>
  <si>
    <t>HURT</t>
  </si>
  <si>
    <t>HURTING</t>
  </si>
  <si>
    <t xml:space="preserve">Hydro finishing </t>
  </si>
  <si>
    <t>hyperinflation</t>
  </si>
  <si>
    <t>IDEAL</t>
  </si>
  <si>
    <t>IDLE</t>
  </si>
  <si>
    <t>IDLED</t>
  </si>
  <si>
    <t>IDLING</t>
  </si>
  <si>
    <t>if</t>
  </si>
  <si>
    <t>IGNORE</t>
  </si>
  <si>
    <t>IGNORED</t>
  </si>
  <si>
    <t>IGNORES</t>
  </si>
  <si>
    <t>IGNORING</t>
  </si>
  <si>
    <t>ILL</t>
  </si>
  <si>
    <t>ILLEGAL</t>
  </si>
  <si>
    <t>ILLEGALITIES</t>
  </si>
  <si>
    <t>ILLEGALITY</t>
  </si>
  <si>
    <t>ILLEGALLY</t>
  </si>
  <si>
    <t>ILLEGIBLE</t>
  </si>
  <si>
    <t>ILLICIT</t>
  </si>
  <si>
    <t>ILLICITLY</t>
  </si>
  <si>
    <t>ILLIQUID</t>
  </si>
  <si>
    <t>ILLIQUIDITY</t>
  </si>
  <si>
    <t>IMBALANCE</t>
  </si>
  <si>
    <t>IMBALANCES</t>
  </si>
  <si>
    <t>imf</t>
  </si>
  <si>
    <t>IMMATURE</t>
  </si>
  <si>
    <t>IMMORAL</t>
  </si>
  <si>
    <t>IMPAIR</t>
  </si>
  <si>
    <t>IMPAIRED</t>
  </si>
  <si>
    <t>IMPAIRING</t>
  </si>
  <si>
    <t>IMPAIRMENT</t>
  </si>
  <si>
    <t>IMPAIRMENTS</t>
  </si>
  <si>
    <t>IMPAIRS</t>
  </si>
  <si>
    <t>IMPASSE</t>
  </si>
  <si>
    <t>IMPASSES</t>
  </si>
  <si>
    <t>IMPEDE</t>
  </si>
  <si>
    <t>IMPEDED</t>
  </si>
  <si>
    <t>IMPEDES</t>
  </si>
  <si>
    <t>IMPEDIMENT</t>
  </si>
  <si>
    <t>IMPEDIMENTS</t>
  </si>
  <si>
    <t>IMPEDING</t>
  </si>
  <si>
    <t>IMPENDING</t>
  </si>
  <si>
    <t>IMPERATIVE</t>
  </si>
  <si>
    <t>IMPERFECTION</t>
  </si>
  <si>
    <t>IMPERFECTIONS</t>
  </si>
  <si>
    <t>IMPERIL</t>
  </si>
  <si>
    <t>IMPERMISSIBLE</t>
  </si>
  <si>
    <t>implementation lag</t>
  </si>
  <si>
    <t>IMPLICATE</t>
  </si>
  <si>
    <t>IMPLICATED</t>
  </si>
  <si>
    <t>IMPLICATES</t>
  </si>
  <si>
    <t>IMPLICATING</t>
  </si>
  <si>
    <t>implied volatility</t>
  </si>
  <si>
    <t>imported inflation</t>
  </si>
  <si>
    <t>IMPOSSIBILITY</t>
  </si>
  <si>
    <t>IMPOSSIBLE</t>
  </si>
  <si>
    <t>IMPOUND</t>
  </si>
  <si>
    <t>IMPOUNDED</t>
  </si>
  <si>
    <t>IMPOUNDING</t>
  </si>
  <si>
    <t>IMPOUNDS</t>
  </si>
  <si>
    <t>IMPRACTICABLE</t>
  </si>
  <si>
    <t>IMPRACTICAL</t>
  </si>
  <si>
    <t>IMPRACTICALITIES</t>
  </si>
  <si>
    <t>IMPRACTICALITY</t>
  </si>
  <si>
    <t>IMPRESS</t>
  </si>
  <si>
    <t>IMPRESSED</t>
  </si>
  <si>
    <t>IMPRESSES</t>
  </si>
  <si>
    <t>IMPRESSING</t>
  </si>
  <si>
    <t>IMPRESSIVE</t>
  </si>
  <si>
    <t>IMPRESSIVELY</t>
  </si>
  <si>
    <t>IMPRISONMENT</t>
  </si>
  <si>
    <t>IMPROPER</t>
  </si>
  <si>
    <t>IMPROPERLY</t>
  </si>
  <si>
    <t>IMPROPRIETIES</t>
  </si>
  <si>
    <t>IMPROPRIETY</t>
  </si>
  <si>
    <t>IMPROVE</t>
  </si>
  <si>
    <t>IMPROVED</t>
  </si>
  <si>
    <t>IMPROVEMENT</t>
  </si>
  <si>
    <t>IMPROVEMENTS</t>
  </si>
  <si>
    <t>IMPROVES</t>
  </si>
  <si>
    <t>IMPROVING</t>
  </si>
  <si>
    <t>IMPRUDENT</t>
  </si>
  <si>
    <t>IMPRUDENTLY</t>
  </si>
  <si>
    <t>in</t>
  </si>
  <si>
    <t>INABILITY</t>
  </si>
  <si>
    <t>INACCESSIBLE</t>
  </si>
  <si>
    <t>INACCURACIES</t>
  </si>
  <si>
    <t>INACCURACY</t>
  </si>
  <si>
    <t>INACCURATE</t>
  </si>
  <si>
    <t>INACCURATELY</t>
  </si>
  <si>
    <t>INACTION</t>
  </si>
  <si>
    <t>INACTIONS</t>
  </si>
  <si>
    <t>INACTIVATE</t>
  </si>
  <si>
    <t>INACTIVATED</t>
  </si>
  <si>
    <t>INACTIVATES</t>
  </si>
  <si>
    <t>INACTIVATING</t>
  </si>
  <si>
    <t>INACTIVATION</t>
  </si>
  <si>
    <t>INACTIVATIONS</t>
  </si>
  <si>
    <t>INACTIVITY</t>
  </si>
  <si>
    <t>INADEQUACIES</t>
  </si>
  <si>
    <t>INADEQUACY</t>
  </si>
  <si>
    <t>INADEQUATE</t>
  </si>
  <si>
    <t>INADEQUATELY</t>
  </si>
  <si>
    <t>INADVERTENT</t>
  </si>
  <si>
    <t>INADVERTENTLY</t>
  </si>
  <si>
    <t>INADVISABILITY</t>
  </si>
  <si>
    <t>INADVISABLE</t>
  </si>
  <si>
    <t>INAPPLICABLE</t>
  </si>
  <si>
    <t>INAPPROPRIATE</t>
  </si>
  <si>
    <t>INAPPROPRIATELY</t>
  </si>
  <si>
    <t>INATTENTION</t>
  </si>
  <si>
    <t>in-bond system</t>
  </si>
  <si>
    <t>INCAPABLE</t>
  </si>
  <si>
    <t>INCAPACITATED</t>
  </si>
  <si>
    <t>INCAPACITY</t>
  </si>
  <si>
    <t>INCARCERATE</t>
  </si>
  <si>
    <t>INCARCERATED</t>
  </si>
  <si>
    <t>INCARCERATES</t>
  </si>
  <si>
    <t>INCARCERATING</t>
  </si>
  <si>
    <t>INCARCERATION</t>
  </si>
  <si>
    <t>INCARCERATIONS</t>
  </si>
  <si>
    <t>INCIDENCE</t>
  </si>
  <si>
    <t>INCIDENCES</t>
  </si>
  <si>
    <t>INCIDENT</t>
  </si>
  <si>
    <t>INCIDENTS</t>
  </si>
  <si>
    <t>income</t>
  </si>
  <si>
    <t>income distribution</t>
  </si>
  <si>
    <t>income statement</t>
  </si>
  <si>
    <t>income tax</t>
  </si>
  <si>
    <t>INCOMPATIBILITIES</t>
  </si>
  <si>
    <t>INCOMPATIBILITY</t>
  </si>
  <si>
    <t>INCOMPATIBLE</t>
  </si>
  <si>
    <t>INCOMPETENCE</t>
  </si>
  <si>
    <t>INCOMPETENCY</t>
  </si>
  <si>
    <t>INCOMPETENT</t>
  </si>
  <si>
    <t>INCOMPETENTLY</t>
  </si>
  <si>
    <t>INCOMPETENTS</t>
  </si>
  <si>
    <t>INCOMPLETE</t>
  </si>
  <si>
    <t>INCOMPLETELY</t>
  </si>
  <si>
    <t>INCOMPLETENESS</t>
  </si>
  <si>
    <t>INCONCLUSIVE</t>
  </si>
  <si>
    <t>INCONSISTENCIES</t>
  </si>
  <si>
    <t>INCONSISTENCY</t>
  </si>
  <si>
    <t>INCONSISTENT</t>
  </si>
  <si>
    <t>INCONSISTENTLY</t>
  </si>
  <si>
    <t>INCONVENIENCE</t>
  </si>
  <si>
    <t>INCONVENIENCES</t>
  </si>
  <si>
    <t>INCONVENIENT</t>
  </si>
  <si>
    <t>inconvertible currency</t>
  </si>
  <si>
    <t>INCORRECT</t>
  </si>
  <si>
    <t>INCORRECTLY</t>
  </si>
  <si>
    <t>INCORRECTNESS</t>
  </si>
  <si>
    <t>INCREDIBLE</t>
  </si>
  <si>
    <t>INCREDIBLY</t>
  </si>
  <si>
    <t>incremental analysis</t>
  </si>
  <si>
    <t>incremental capital output ratio</t>
  </si>
  <si>
    <t>INDECENCY</t>
  </si>
  <si>
    <t>INDECENT</t>
  </si>
  <si>
    <t>INDEFEASIBLE</t>
  </si>
  <si>
    <t>INDEFEASIBLY</t>
  </si>
  <si>
    <t>index</t>
  </si>
  <si>
    <t>index of industrial production</t>
  </si>
  <si>
    <t>index of leading indicators</t>
  </si>
  <si>
    <t>india</t>
  </si>
  <si>
    <t>indian oil</t>
  </si>
  <si>
    <t>indicator</t>
  </si>
  <si>
    <t>INDICT</t>
  </si>
  <si>
    <t>INDICTABLE</t>
  </si>
  <si>
    <t>INDICTED</t>
  </si>
  <si>
    <t>INDICTING</t>
  </si>
  <si>
    <t>INDICTMENT</t>
  </si>
  <si>
    <t>INDICTMENTS</t>
  </si>
  <si>
    <t>indifference curve</t>
  </si>
  <si>
    <t>indirect labor costs</t>
  </si>
  <si>
    <t>indonesia</t>
  </si>
  <si>
    <t>industrial production</t>
  </si>
  <si>
    <t>industrial production index</t>
  </si>
  <si>
    <t>INEFFECTIVE</t>
  </si>
  <si>
    <t>INEFFECTIVELY</t>
  </si>
  <si>
    <t>INEFFECTIVENESS</t>
  </si>
  <si>
    <t>INEFFICIENCIES</t>
  </si>
  <si>
    <t>INEFFICIENCY</t>
  </si>
  <si>
    <t>INEFFICIENT</t>
  </si>
  <si>
    <t>inefficient market</t>
  </si>
  <si>
    <t>INEFFICIENTLY</t>
  </si>
  <si>
    <t>inelasticity</t>
  </si>
  <si>
    <t>INELIGIBILITY</t>
  </si>
  <si>
    <t>INELIGIBLE</t>
  </si>
  <si>
    <t>INEQUITABLE</t>
  </si>
  <si>
    <t>INEQUITABLY</t>
  </si>
  <si>
    <t>INEQUITIES</t>
  </si>
  <si>
    <t>INEQUITY</t>
  </si>
  <si>
    <t>INEVITABLE</t>
  </si>
  <si>
    <t>INEXPERIENCE</t>
  </si>
  <si>
    <t>INEXPERIENCED</t>
  </si>
  <si>
    <t>infant industry argument</t>
  </si>
  <si>
    <t>INFERIOR</t>
  </si>
  <si>
    <t>inflation</t>
  </si>
  <si>
    <t>inflation rate</t>
  </si>
  <si>
    <t>inflation risk</t>
  </si>
  <si>
    <t>inflation swap</t>
  </si>
  <si>
    <t>inflationary</t>
  </si>
  <si>
    <t>inflexible expense</t>
  </si>
  <si>
    <t>INFLICTED</t>
  </si>
  <si>
    <t>INFLUENTIAL</t>
  </si>
  <si>
    <t>information asymmetry</t>
  </si>
  <si>
    <t>information symmetry</t>
  </si>
  <si>
    <t>INFORMATIVE</t>
  </si>
  <si>
    <t>INFRACTION</t>
  </si>
  <si>
    <t>INFRACTIONS</t>
  </si>
  <si>
    <t>infrastructure</t>
  </si>
  <si>
    <t>INFRINGE</t>
  </si>
  <si>
    <t>INFRINGED</t>
  </si>
  <si>
    <t>INFRINGEMENT</t>
  </si>
  <si>
    <t>INFRINGEMENTS</t>
  </si>
  <si>
    <t>INFRINGES</t>
  </si>
  <si>
    <t>INFRINGING</t>
  </si>
  <si>
    <t xml:space="preserve">ing. antonio m. amor </t>
  </si>
  <si>
    <t>INGENUITY</t>
  </si>
  <si>
    <t>INHIBITED</t>
  </si>
  <si>
    <t xml:space="preserve">Inhibitor </t>
  </si>
  <si>
    <t>INIMICAL</t>
  </si>
  <si>
    <t>initial claims</t>
  </si>
  <si>
    <t>initial jobless claims</t>
  </si>
  <si>
    <t>Injection Facility</t>
  </si>
  <si>
    <t>INJUNCTION</t>
  </si>
  <si>
    <t>INJUNCTIONS</t>
  </si>
  <si>
    <t>INJURE</t>
  </si>
  <si>
    <t>INJURED</t>
  </si>
  <si>
    <t>INJURES</t>
  </si>
  <si>
    <t>INJURIES</t>
  </si>
  <si>
    <t>INJURING</t>
  </si>
  <si>
    <t>INJURIOUS</t>
  </si>
  <si>
    <t>INJURY</t>
  </si>
  <si>
    <t>INNOVATE</t>
  </si>
  <si>
    <t>INNOVATED</t>
  </si>
  <si>
    <t>INNOVATES</t>
  </si>
  <si>
    <t>INNOVATING</t>
  </si>
  <si>
    <t>INNOVATION</t>
  </si>
  <si>
    <t>INNOVATIONS</t>
  </si>
  <si>
    <t>INNOVATIVE</t>
  </si>
  <si>
    <t>INNOVATIVENESS</t>
  </si>
  <si>
    <t>INNOVATOR</t>
  </si>
  <si>
    <t>INNOVATORS</t>
  </si>
  <si>
    <t>inoc</t>
  </si>
  <si>
    <t>INORDINATE</t>
  </si>
  <si>
    <t>INORDINATELY</t>
  </si>
  <si>
    <t>INQUIRY</t>
  </si>
  <si>
    <t>INSECURE</t>
  </si>
  <si>
    <t>INSENSITIVE</t>
  </si>
  <si>
    <t>inside</t>
  </si>
  <si>
    <t>INSIGHTFUL</t>
  </si>
  <si>
    <t>In-Situ Recovery</t>
  </si>
  <si>
    <t xml:space="preserve">Insolubles </t>
  </si>
  <si>
    <t>INSOLVENCIES</t>
  </si>
  <si>
    <t>INSOLVENCY</t>
  </si>
  <si>
    <t>INSOLVENT</t>
  </si>
  <si>
    <t>INSPIRATION</t>
  </si>
  <si>
    <t>INSPIRATIONAL</t>
  </si>
  <si>
    <t>INSTABILITY</t>
  </si>
  <si>
    <t>institute for supply management</t>
  </si>
  <si>
    <t>INSUBORDINATION</t>
  </si>
  <si>
    <t>INSUFFICIENCY</t>
  </si>
  <si>
    <t>INSUFFICIENT</t>
  </si>
  <si>
    <t>INSUFFICIENTLY</t>
  </si>
  <si>
    <t>INSURRECTION</t>
  </si>
  <si>
    <t>INSURRECTIONS</t>
  </si>
  <si>
    <t>intangible asset</t>
  </si>
  <si>
    <t>integrated financial market</t>
  </si>
  <si>
    <t>integrated hedge</t>
  </si>
  <si>
    <t>INTEGRITY</t>
  </si>
  <si>
    <t>Intelligent well</t>
  </si>
  <si>
    <t>INTENTIONAL</t>
  </si>
  <si>
    <t>interest basis</t>
  </si>
  <si>
    <t>interest expense</t>
  </si>
  <si>
    <t>interest income</t>
  </si>
  <si>
    <t>interest rate</t>
  </si>
  <si>
    <t>interest-rate sensitive</t>
  </si>
  <si>
    <t>INTERFERE</t>
  </si>
  <si>
    <t>INTERFERED</t>
  </si>
  <si>
    <t>INTERFERENCE</t>
  </si>
  <si>
    <t>INTERFERENCES</t>
  </si>
  <si>
    <t>INTERFERES</t>
  </si>
  <si>
    <t>INTERFERING</t>
  </si>
  <si>
    <t>INTERMITTENT</t>
  </si>
  <si>
    <t>INTERMITTENTLY</t>
  </si>
  <si>
    <t>international fisher effect</t>
  </si>
  <si>
    <t>international harmonization</t>
  </si>
  <si>
    <t>international monetary fund</t>
  </si>
  <si>
    <t>international monetary market</t>
  </si>
  <si>
    <t>international trade deficit</t>
  </si>
  <si>
    <t>INTERRUPT</t>
  </si>
  <si>
    <t>INTERRUPTED</t>
  </si>
  <si>
    <t>INTERRUPTING</t>
  </si>
  <si>
    <t>INTERRUPTION</t>
  </si>
  <si>
    <t>INTERRUPTIONS</t>
  </si>
  <si>
    <t>INTERRUPTS</t>
  </si>
  <si>
    <t>in-the money</t>
  </si>
  <si>
    <t>INTIMIDATION</t>
  </si>
  <si>
    <t>into</t>
  </si>
  <si>
    <t>INTRUSION</t>
  </si>
  <si>
    <t>INVALID</t>
  </si>
  <si>
    <t>INVALIDATE</t>
  </si>
  <si>
    <t>INVALIDATED</t>
  </si>
  <si>
    <t>INVALIDATES</t>
  </si>
  <si>
    <t>INVALIDATING</t>
  </si>
  <si>
    <t>INVALIDATION</t>
  </si>
  <si>
    <t>INVALIDITY</t>
  </si>
  <si>
    <t>INVENT</t>
  </si>
  <si>
    <t>INVENTED</t>
  </si>
  <si>
    <t>INVENTING</t>
  </si>
  <si>
    <t>INVENTION</t>
  </si>
  <si>
    <t>INVENTIONS</t>
  </si>
  <si>
    <t>INVENTIVE</t>
  </si>
  <si>
    <t>INVENTIVENESS</t>
  </si>
  <si>
    <t>INVENTOR</t>
  </si>
  <si>
    <t>INVENTORS</t>
  </si>
  <si>
    <t>inventory</t>
  </si>
  <si>
    <t>inventory targets</t>
  </si>
  <si>
    <t>inventory turns</t>
  </si>
  <si>
    <t>INVESTIGATE</t>
  </si>
  <si>
    <t>INVESTIGATED</t>
  </si>
  <si>
    <t>INVESTIGATES</t>
  </si>
  <si>
    <t>INVESTIGATING</t>
  </si>
  <si>
    <t>INVESTIGATION</t>
  </si>
  <si>
    <t>INVESTIGATIONS</t>
  </si>
  <si>
    <t>investment</t>
  </si>
  <si>
    <t>investment climate</t>
  </si>
  <si>
    <t>investment multiplier</t>
  </si>
  <si>
    <t>invisible hand</t>
  </si>
  <si>
    <t>invisible hard market</t>
  </si>
  <si>
    <t>INVOLUNTARILY</t>
  </si>
  <si>
    <t>INVOLUNTARY</t>
  </si>
  <si>
    <t>ioc</t>
  </si>
  <si>
    <t>iran</t>
  </si>
  <si>
    <t>Iran Heavy</t>
  </si>
  <si>
    <t>Iran Light</t>
  </si>
  <si>
    <t>iraq</t>
  </si>
  <si>
    <t xml:space="preserve">iraq national oil </t>
  </si>
  <si>
    <t>iraqi national oil</t>
  </si>
  <si>
    <t>iron</t>
  </si>
  <si>
    <t>IRRECONCILABLE</t>
  </si>
  <si>
    <t>IRRECONCILABLY</t>
  </si>
  <si>
    <t>IRRECOVERABLE</t>
  </si>
  <si>
    <t>IRRECOVERABLY</t>
  </si>
  <si>
    <t>IRREGULAR</t>
  </si>
  <si>
    <t>IRREGULARITIES</t>
  </si>
  <si>
    <t>IRREGULARITY</t>
  </si>
  <si>
    <t>IRREGULARLY</t>
  </si>
  <si>
    <t>IRREPARABLE</t>
  </si>
  <si>
    <t>IRREPARABLY</t>
  </si>
  <si>
    <t>IRREVERSIBLE</t>
  </si>
  <si>
    <t xml:space="preserve">irving oil </t>
  </si>
  <si>
    <t>is</t>
  </si>
  <si>
    <t>isfahan oil refinery</t>
  </si>
  <si>
    <t>ism</t>
  </si>
  <si>
    <t>ism manufacturing index</t>
  </si>
  <si>
    <t>ism manufacturing report on business</t>
  </si>
  <si>
    <t>ism non-manufacturing report on business</t>
  </si>
  <si>
    <t>Isthmus</t>
  </si>
  <si>
    <t>it</t>
  </si>
  <si>
    <t>italy</t>
  </si>
  <si>
    <t>its</t>
  </si>
  <si>
    <t>itself</t>
  </si>
  <si>
    <t>j p morgan</t>
  </si>
  <si>
    <t>Jacket</t>
  </si>
  <si>
    <t>jamnagar refinery</t>
  </si>
  <si>
    <t>jan</t>
  </si>
  <si>
    <t>january</t>
  </si>
  <si>
    <t>japan</t>
  </si>
  <si>
    <t>Jasmine</t>
  </si>
  <si>
    <t>j-curve</t>
  </si>
  <si>
    <t>JEOPARDIZE</t>
  </si>
  <si>
    <t>JEOPARDIZED</t>
  </si>
  <si>
    <t>jidong</t>
  </si>
  <si>
    <t>jim cramer</t>
  </si>
  <si>
    <t>jinling company</t>
  </si>
  <si>
    <t>joa</t>
  </si>
  <si>
    <t>job creation and worker assistance act of 2002</t>
  </si>
  <si>
    <t>jobless claims</t>
  </si>
  <si>
    <t>jobs and growth tax relief reconciliation act of 2003</t>
  </si>
  <si>
    <t>john maynard keynes</t>
  </si>
  <si>
    <t>Joint</t>
  </si>
  <si>
    <t>joint operating agreement</t>
  </si>
  <si>
    <t>joint venture</t>
  </si>
  <si>
    <t>joint venture participants</t>
  </si>
  <si>
    <t>Jotun</t>
  </si>
  <si>
    <t>jubail</t>
  </si>
  <si>
    <t>jul</t>
  </si>
  <si>
    <t>july</t>
  </si>
  <si>
    <t>jun</t>
  </si>
  <si>
    <t>june</t>
  </si>
  <si>
    <t>Junked &amp; Abandoned</t>
  </si>
  <si>
    <t>jupiter</t>
  </si>
  <si>
    <t>jurong island refinery</t>
  </si>
  <si>
    <t>JUSTIFIABLE</t>
  </si>
  <si>
    <t>kalamkas</t>
  </si>
  <si>
    <t>kamennoe</t>
  </si>
  <si>
    <t>karachaganak</t>
  </si>
  <si>
    <t>Karachaganak Condensate</t>
  </si>
  <si>
    <t>kashagan</t>
  </si>
  <si>
    <t>kawasaki refinery</t>
  </si>
  <si>
    <t>kernriver</t>
  </si>
  <si>
    <t>key industry</t>
  </si>
  <si>
    <t>keynesian economics</t>
  </si>
  <si>
    <t>Khafji</t>
  </si>
  <si>
    <t>Kick</t>
  </si>
  <si>
    <t>KICKBACK</t>
  </si>
  <si>
    <t>KICKBACKS</t>
  </si>
  <si>
    <t>Kikeh</t>
  </si>
  <si>
    <t>Kill</t>
  </si>
  <si>
    <t>Killing a well</t>
  </si>
  <si>
    <t>kilowatt demand</t>
  </si>
  <si>
    <t>kilowatt-hour</t>
  </si>
  <si>
    <t>kilowatt-hours per capita</t>
  </si>
  <si>
    <t xml:space="preserve">Kinematic viscosity </t>
  </si>
  <si>
    <t>kingfish</t>
  </si>
  <si>
    <t>kirishi refinery</t>
  </si>
  <si>
    <t>kirkuk</t>
  </si>
  <si>
    <t>Kissanje Blend</t>
  </si>
  <si>
    <t>Kitina</t>
  </si>
  <si>
    <t>Kittiwake</t>
  </si>
  <si>
    <t>kizomba complex</t>
  </si>
  <si>
    <t>KNOWINGLY</t>
  </si>
  <si>
    <t>knpc</t>
  </si>
  <si>
    <t>Kole</t>
  </si>
  <si>
    <t>ksa</t>
  </si>
  <si>
    <t>Kuito</t>
  </si>
  <si>
    <t>Kumkol</t>
  </si>
  <si>
    <t>kuparukoil</t>
  </si>
  <si>
    <t>kurmangazy</t>
  </si>
  <si>
    <t>Kutubu Blend</t>
  </si>
  <si>
    <t>kuwait</t>
  </si>
  <si>
    <t>Kuwait Blend</t>
  </si>
  <si>
    <t>kuwait national</t>
  </si>
  <si>
    <t>LA Mississippi Sweet</t>
  </si>
  <si>
    <t>labor force</t>
  </si>
  <si>
    <t>Labuan</t>
  </si>
  <si>
    <t>LACK</t>
  </si>
  <si>
    <t>LACKED</t>
  </si>
  <si>
    <t>LACKING</t>
  </si>
  <si>
    <t>LACKLUSTER</t>
  </si>
  <si>
    <t>LACKS</t>
  </si>
  <si>
    <t>laffer curve</t>
  </si>
  <si>
    <t>LAG</t>
  </si>
  <si>
    <t>LAGGED</t>
  </si>
  <si>
    <t>LAGGING</t>
  </si>
  <si>
    <t>lagging indicator</t>
  </si>
  <si>
    <t>LAGS</t>
  </si>
  <si>
    <t>Laguna</t>
  </si>
  <si>
    <t>laissez-faire</t>
  </si>
  <si>
    <t>lake charles refinery</t>
  </si>
  <si>
    <t>Laminaria</t>
  </si>
  <si>
    <t>LAPSE</t>
  </si>
  <si>
    <t>LAPSED</t>
  </si>
  <si>
    <t>LAPSES</t>
  </si>
  <si>
    <t>LAPSING</t>
  </si>
  <si>
    <t xml:space="preserve">last in, first out </t>
  </si>
  <si>
    <t>LATE</t>
  </si>
  <si>
    <t>LAUNDERING</t>
  </si>
  <si>
    <t>Lavan Blend</t>
  </si>
  <si>
    <t>law of demand</t>
  </si>
  <si>
    <t>law of supply</t>
  </si>
  <si>
    <t>LAYOFF</t>
  </si>
  <si>
    <t>LAYOFFS</t>
  </si>
  <si>
    <t>lco</t>
  </si>
  <si>
    <t>LEADERSHIP</t>
  </si>
  <si>
    <t>LEADING</t>
  </si>
  <si>
    <t>leading indicator</t>
  </si>
  <si>
    <t>leading lipstick indicator</t>
  </si>
  <si>
    <t>lease</t>
  </si>
  <si>
    <t>Lease Separator</t>
  </si>
  <si>
    <t>letter of credit</t>
  </si>
  <si>
    <t>leverage</t>
  </si>
  <si>
    <t>leverage ratio</t>
  </si>
  <si>
    <t>liabilities</t>
  </si>
  <si>
    <t>libor</t>
  </si>
  <si>
    <t>libya</t>
  </si>
  <si>
    <t>libya national oil</t>
  </si>
  <si>
    <t>libyan national oil</t>
  </si>
  <si>
    <t>LIE</t>
  </si>
  <si>
    <t>life cycle</t>
  </si>
  <si>
    <t>lifo</t>
  </si>
  <si>
    <t>light crude</t>
  </si>
  <si>
    <t>Light Crude Oil</t>
  </si>
  <si>
    <t>Light Louisiana Sweet</t>
  </si>
  <si>
    <t>light oil</t>
  </si>
  <si>
    <t>light sweet</t>
  </si>
  <si>
    <t>like</t>
  </si>
  <si>
    <t>LIMITATION</t>
  </si>
  <si>
    <t>LIMITATIONS</t>
  </si>
  <si>
    <t>line of credit</t>
  </si>
  <si>
    <t>Liner</t>
  </si>
  <si>
    <t>LINGERING</t>
  </si>
  <si>
    <t>linos refinery</t>
  </si>
  <si>
    <t>Lion Crude</t>
  </si>
  <si>
    <t>liquefied natural gas</t>
  </si>
  <si>
    <t>liquefied petroleum gas</t>
  </si>
  <si>
    <t>LIQUIDATE</t>
  </si>
  <si>
    <t>LIQUIDATED</t>
  </si>
  <si>
    <t>LIQUIDATES</t>
  </si>
  <si>
    <t>LIQUIDATING</t>
  </si>
  <si>
    <t>LIQUIDATION</t>
  </si>
  <si>
    <t>LIQUIDATIONS</t>
  </si>
  <si>
    <t>LIQUIDATOR</t>
  </si>
  <si>
    <t>LIQUIDATORS</t>
  </si>
  <si>
    <t>liquidity</t>
  </si>
  <si>
    <t>liquidity preference theory</t>
  </si>
  <si>
    <t>liquidity risk</t>
  </si>
  <si>
    <t>LITIGANT</t>
  </si>
  <si>
    <t>LITIGANTS</t>
  </si>
  <si>
    <t>LITIGATE</t>
  </si>
  <si>
    <t>LITIGATED</t>
  </si>
  <si>
    <t>LITIGATES</t>
  </si>
  <si>
    <t>LITIGATING</t>
  </si>
  <si>
    <t>LITIGATION</t>
  </si>
  <si>
    <t>LITIGATIONS</t>
  </si>
  <si>
    <t>little dragons</t>
  </si>
  <si>
    <t>Liuhua</t>
  </si>
  <si>
    <t>Liverpool Bay</t>
  </si>
  <si>
    <t>Lloyd Blend</t>
  </si>
  <si>
    <t>lng</t>
  </si>
  <si>
    <t>LOCKOUT</t>
  </si>
  <si>
    <t>LOCKOUTS</t>
  </si>
  <si>
    <t xml:space="preserve">london interbank offered rate </t>
  </si>
  <si>
    <t>long-term asset</t>
  </si>
  <si>
    <t>long-term borrowing</t>
  </si>
  <si>
    <t>lookback option</t>
  </si>
  <si>
    <t>loose credit</t>
  </si>
  <si>
    <t>lorenz curve</t>
  </si>
  <si>
    <t>LOSE</t>
  </si>
  <si>
    <t>LOSES</t>
  </si>
  <si>
    <t>LOSING</t>
  </si>
  <si>
    <t>LOSS</t>
  </si>
  <si>
    <t>LOSSES</t>
  </si>
  <si>
    <t>LOST</t>
  </si>
  <si>
    <t>louvre accord</t>
  </si>
  <si>
    <t>Lower Zakum</t>
  </si>
  <si>
    <t>LOYAL</t>
  </si>
  <si>
    <t>lpg</t>
  </si>
  <si>
    <t xml:space="preserve">Lubrication </t>
  </si>
  <si>
    <t>LUCRATIVE</t>
  </si>
  <si>
    <t>Lufeng</t>
  </si>
  <si>
    <t>lyantorskoye</t>
  </si>
  <si>
    <t>LYING</t>
  </si>
  <si>
    <t>m0</t>
  </si>
  <si>
    <t>m1</t>
  </si>
  <si>
    <t>m2</t>
  </si>
  <si>
    <t>m3</t>
  </si>
  <si>
    <t>MacCulloch</t>
  </si>
  <si>
    <t>macro risk</t>
  </si>
  <si>
    <t>macroeconomics</t>
  </si>
  <si>
    <t>mailiao refinery</t>
  </si>
  <si>
    <t>majnoon</t>
  </si>
  <si>
    <t>major currency</t>
  </si>
  <si>
    <t>MALFEASANCE</t>
  </si>
  <si>
    <t>MALFUNCTION</t>
  </si>
  <si>
    <t>MALFUNCTIONED</t>
  </si>
  <si>
    <t>MALFUNCTIONING</t>
  </si>
  <si>
    <t>MALFUNCTIONS</t>
  </si>
  <si>
    <t>MALICE</t>
  </si>
  <si>
    <t>MALICIOUS</t>
  </si>
  <si>
    <t>MALICIOUSLY</t>
  </si>
  <si>
    <t>MALPRACTICE</t>
  </si>
  <si>
    <t>mamontovskoye</t>
  </si>
  <si>
    <t>managed economy</t>
  </si>
  <si>
    <t>management goals</t>
  </si>
  <si>
    <t>Mandji</t>
  </si>
  <si>
    <t>mangalaarea</t>
  </si>
  <si>
    <t>manifa</t>
  </si>
  <si>
    <t>MANIPULATE</t>
  </si>
  <si>
    <t>MANIPULATED</t>
  </si>
  <si>
    <t>MANIPULATES</t>
  </si>
  <si>
    <t>MANIPULATING</t>
  </si>
  <si>
    <t>MANIPULATION</t>
  </si>
  <si>
    <t>MANIPULATIONS</t>
  </si>
  <si>
    <t>MANIPULATIVE</t>
  </si>
  <si>
    <t xml:space="preserve">manuel hidalgo </t>
  </si>
  <si>
    <t>many</t>
  </si>
  <si>
    <t>maoming company</t>
  </si>
  <si>
    <t>mar</t>
  </si>
  <si>
    <t>marathon</t>
  </si>
  <si>
    <t>marathon petroleum</t>
  </si>
  <si>
    <t>march</t>
  </si>
  <si>
    <t>marginal analysis</t>
  </si>
  <si>
    <t>marginal propensity to consume</t>
  </si>
  <si>
    <t>marginal propensity to invest</t>
  </si>
  <si>
    <t>Marib Light</t>
  </si>
  <si>
    <t>Marine Riser</t>
  </si>
  <si>
    <t>MARKDOWN</t>
  </si>
  <si>
    <t>MARKDOWNS</t>
  </si>
  <si>
    <t>market basket</t>
  </si>
  <si>
    <t>market clearing price</t>
  </si>
  <si>
    <t>market development index</t>
  </si>
  <si>
    <t>market economy</t>
  </si>
  <si>
    <t>market internalization advantages</t>
  </si>
  <si>
    <t>market model</t>
  </si>
  <si>
    <t>market risk</t>
  </si>
  <si>
    <t>market sentiment</t>
  </si>
  <si>
    <t>market share</t>
  </si>
  <si>
    <t>market size</t>
  </si>
  <si>
    <t>market value</t>
  </si>
  <si>
    <t>marketable securities</t>
  </si>
  <si>
    <t>marlboro friday</t>
  </si>
  <si>
    <t>marlim</t>
  </si>
  <si>
    <t>Mars Blend</t>
  </si>
  <si>
    <t>marshall plan</t>
  </si>
  <si>
    <t>marun</t>
  </si>
  <si>
    <t>Masila</t>
  </si>
  <si>
    <t>mass market</t>
  </si>
  <si>
    <t>mature economy</t>
  </si>
  <si>
    <t>mature market</t>
  </si>
  <si>
    <t>Maureen</t>
  </si>
  <si>
    <t>may</t>
  </si>
  <si>
    <t>Maya</t>
  </si>
  <si>
    <t>mbtu</t>
  </si>
  <si>
    <t>mccallum rule</t>
  </si>
  <si>
    <t>me</t>
  </si>
  <si>
    <t>mean reversion</t>
  </si>
  <si>
    <t>Medanito</t>
  </si>
  <si>
    <t>Mediterranean Sidi Kerir</t>
  </si>
  <si>
    <t>Mediterranean Sidi Kerir heavy</t>
  </si>
  <si>
    <t>Medium Crude Oil</t>
  </si>
  <si>
    <t>medium of exchange</t>
  </si>
  <si>
    <t>mercantile</t>
  </si>
  <si>
    <t>MERITORIOUS</t>
  </si>
  <si>
    <t>merrill lynch</t>
  </si>
  <si>
    <t>Mesa 30</t>
  </si>
  <si>
    <t>Mesa Blend</t>
  </si>
  <si>
    <t>mesopotamian foredeep basin</t>
  </si>
  <si>
    <t>Methane Content of Natural Gas</t>
  </si>
  <si>
    <t>mexico</t>
  </si>
  <si>
    <t>microeconomics</t>
  </si>
  <si>
    <t>microfinance</t>
  </si>
  <si>
    <t>midway-sunset</t>
  </si>
  <si>
    <t>might</t>
  </si>
  <si>
    <t>milton friedman</t>
  </si>
  <si>
    <t>mina al-ahmadi refinery</t>
  </si>
  <si>
    <t>minagish</t>
  </si>
  <si>
    <t>Minas</t>
  </si>
  <si>
    <t>minimum wage</t>
  </si>
  <si>
    <t>mint</t>
  </si>
  <si>
    <t>Miri</t>
  </si>
  <si>
    <t>MISAPPLICATION</t>
  </si>
  <si>
    <t>MISAPPLICATIONS</t>
  </si>
  <si>
    <t>MISAPPLIED</t>
  </si>
  <si>
    <t>MISAPPLIES</t>
  </si>
  <si>
    <t>MISAPPLY</t>
  </si>
  <si>
    <t>MISAPPLYING</t>
  </si>
  <si>
    <t>MISAPPROPRIATE</t>
  </si>
  <si>
    <t>MISAPPROPRIATED</t>
  </si>
  <si>
    <t>MISAPPROPRIATES</t>
  </si>
  <si>
    <t>MISAPPROPRIATING</t>
  </si>
  <si>
    <t>MISAPPROPRIATION</t>
  </si>
  <si>
    <t>MISAPPROPRIATIONS</t>
  </si>
  <si>
    <t>MISBRANDED</t>
  </si>
  <si>
    <t>MISCALCULATE</t>
  </si>
  <si>
    <t>MISCALCULATED</t>
  </si>
  <si>
    <t>MISCALCULATES</t>
  </si>
  <si>
    <t>MISCALCULATING</t>
  </si>
  <si>
    <t>MISCALCULATION</t>
  </si>
  <si>
    <t>MISCALCULATIONS</t>
  </si>
  <si>
    <t>miscellaneous current assets</t>
  </si>
  <si>
    <t>miscellaneous current liabilities</t>
  </si>
  <si>
    <t>miscellaneous expenses</t>
  </si>
  <si>
    <t>miscellaneous non-current assets</t>
  </si>
  <si>
    <t>miscellaneous non-current liabilities</t>
  </si>
  <si>
    <t>MISCHIEF</t>
  </si>
  <si>
    <t>MISCLASSIFICATION</t>
  </si>
  <si>
    <t>MISCLASSIFIED</t>
  </si>
  <si>
    <t>MISCONDUCT</t>
  </si>
  <si>
    <t>MISDATED</t>
  </si>
  <si>
    <t>MISDEMEANOR</t>
  </si>
  <si>
    <t>MISDEMEANORS</t>
  </si>
  <si>
    <t>MISDIRECTED</t>
  </si>
  <si>
    <t>misery index</t>
  </si>
  <si>
    <t>MISHANDLE</t>
  </si>
  <si>
    <t>MISHANDLED</t>
  </si>
  <si>
    <t>MISHANDLES</t>
  </si>
  <si>
    <t>MISHANDLING</t>
  </si>
  <si>
    <t>MISINFORM</t>
  </si>
  <si>
    <t>MISINFORMATION</t>
  </si>
  <si>
    <t>MISINFORMED</t>
  </si>
  <si>
    <t>MISINFORMING</t>
  </si>
  <si>
    <t>MISINFORMS</t>
  </si>
  <si>
    <t>MISINTERPRET</t>
  </si>
  <si>
    <t>MISINTERPRETATION</t>
  </si>
  <si>
    <t>MISINTERPRETATIONS</t>
  </si>
  <si>
    <t>MISINTERPRETED</t>
  </si>
  <si>
    <t>MISINTERPRETING</t>
  </si>
  <si>
    <t>MISINTERPRETS</t>
  </si>
  <si>
    <t>MISJUDGE</t>
  </si>
  <si>
    <t>MISJUDGED</t>
  </si>
  <si>
    <t>MISJUDGES</t>
  </si>
  <si>
    <t>MISJUDGING</t>
  </si>
  <si>
    <t>MISJUDGMENT</t>
  </si>
  <si>
    <t>MISJUDGMENTS</t>
  </si>
  <si>
    <t>MISLABEL</t>
  </si>
  <si>
    <t>MISLABELED</t>
  </si>
  <si>
    <t>MISLABELING</t>
  </si>
  <si>
    <t>MISLABELLED</t>
  </si>
  <si>
    <t>MISLABELS</t>
  </si>
  <si>
    <t>MISLEAD</t>
  </si>
  <si>
    <t>MISLEADING</t>
  </si>
  <si>
    <t>MISLEADINGLY</t>
  </si>
  <si>
    <t>MISLEADS</t>
  </si>
  <si>
    <t>MISLED</t>
  </si>
  <si>
    <t>MISMANAGE</t>
  </si>
  <si>
    <t>MISMANAGED</t>
  </si>
  <si>
    <t>MISMANAGEMENT</t>
  </si>
  <si>
    <t>MISMANAGES</t>
  </si>
  <si>
    <t>MISMANAGING</t>
  </si>
  <si>
    <t>MISMATCH</t>
  </si>
  <si>
    <t>MISMATCHED</t>
  </si>
  <si>
    <t>MISMATCHES</t>
  </si>
  <si>
    <t>MISMATCHING</t>
  </si>
  <si>
    <t>MISPLACED</t>
  </si>
  <si>
    <t>MISREPRESENT</t>
  </si>
  <si>
    <t>MISREPRESENTATION</t>
  </si>
  <si>
    <t>MISREPRESENTATIONS</t>
  </si>
  <si>
    <t>MISREPRESENTED</t>
  </si>
  <si>
    <t>MISREPRESENTING</t>
  </si>
  <si>
    <t>MISREPRESENTS</t>
  </si>
  <si>
    <t>MISS</t>
  </si>
  <si>
    <t>MISSED</t>
  </si>
  <si>
    <t>MISSES</t>
  </si>
  <si>
    <t>MISSTATE</t>
  </si>
  <si>
    <t>MISSTATED</t>
  </si>
  <si>
    <t>MISSTATEMENT</t>
  </si>
  <si>
    <t>MISSTATEMENTS</t>
  </si>
  <si>
    <t>MISSTATES</t>
  </si>
  <si>
    <t>MISSTATING</t>
  </si>
  <si>
    <t>MISSTEP</t>
  </si>
  <si>
    <t>MISSTEPS</t>
  </si>
  <si>
    <t>MISTAKE</t>
  </si>
  <si>
    <t>MISTAKEN</t>
  </si>
  <si>
    <t>MISTAKENLY</t>
  </si>
  <si>
    <t>MISTAKES</t>
  </si>
  <si>
    <t>MISTAKING</t>
  </si>
  <si>
    <t>MISTRIAL</t>
  </si>
  <si>
    <t>MISTRIALS</t>
  </si>
  <si>
    <t>MISUNDERSTAND</t>
  </si>
  <si>
    <t>MISUNDERSTANDING</t>
  </si>
  <si>
    <t>MISUNDERSTANDINGS</t>
  </si>
  <si>
    <t>MISUNDERSTOOD</t>
  </si>
  <si>
    <t>MISUSE</t>
  </si>
  <si>
    <t>MISUSED</t>
  </si>
  <si>
    <t>MISUSES</t>
  </si>
  <si>
    <t>MISUSING</t>
  </si>
  <si>
    <t>Mixed Blend Sweet</t>
  </si>
  <si>
    <t>mixed economy</t>
  </si>
  <si>
    <t>mmbtu</t>
  </si>
  <si>
    <t>mobil</t>
  </si>
  <si>
    <t>Modular formation dynamics tester</t>
  </si>
  <si>
    <t>Module</t>
  </si>
  <si>
    <t>Mondo</t>
  </si>
  <si>
    <t>monetarist</t>
  </si>
  <si>
    <t>monetary indicator</t>
  </si>
  <si>
    <t>monetary policy</t>
  </si>
  <si>
    <t>monetary policy committee</t>
  </si>
  <si>
    <t>monetary value</t>
  </si>
  <si>
    <t>monetize</t>
  </si>
  <si>
    <t>monetizing debt</t>
  </si>
  <si>
    <t>money market investor funding facility</t>
  </si>
  <si>
    <t>money supply</t>
  </si>
  <si>
    <t>MONOPOLISTIC</t>
  </si>
  <si>
    <t>monopolistic competition</t>
  </si>
  <si>
    <t>MONOPOLISTS</t>
  </si>
  <si>
    <t>MONOPOLIZATION</t>
  </si>
  <si>
    <t>MONOPOLIZE</t>
  </si>
  <si>
    <t>MONOPOLIZED</t>
  </si>
  <si>
    <t>MONOPOLIZES</t>
  </si>
  <si>
    <t>MONOPOLIZING</t>
  </si>
  <si>
    <t>monopoly</t>
  </si>
  <si>
    <t>monopsony</t>
  </si>
  <si>
    <t>MORATORIA</t>
  </si>
  <si>
    <t>MORATORIUM</t>
  </si>
  <si>
    <t>MORATORIUMS</t>
  </si>
  <si>
    <t>more</t>
  </si>
  <si>
    <t>mortgage</t>
  </si>
  <si>
    <t>most</t>
  </si>
  <si>
    <t>MOTHBALLED</t>
  </si>
  <si>
    <t>MOTHBALLING</t>
  </si>
  <si>
    <t>msci emerging markets index</t>
  </si>
  <si>
    <t>much</t>
  </si>
  <si>
    <t>Mud</t>
  </si>
  <si>
    <t xml:space="preserve">Multigrade oil </t>
  </si>
  <si>
    <t>Multilateral well</t>
  </si>
  <si>
    <t>multiplier</t>
  </si>
  <si>
    <t>multiplier effect</t>
  </si>
  <si>
    <t>municipal securities rulemaking board</t>
  </si>
  <si>
    <t>Murban</t>
  </si>
  <si>
    <t>must</t>
  </si>
  <si>
    <t>my</t>
  </si>
  <si>
    <t>myself</t>
  </si>
  <si>
    <t>nahr umr</t>
  </si>
  <si>
    <t>Nang Nuang</t>
  </si>
  <si>
    <t>Nanhai Light</t>
  </si>
  <si>
    <t>nanpu oil</t>
  </si>
  <si>
    <t>naphta</t>
  </si>
  <si>
    <t>napm</t>
  </si>
  <si>
    <t>napm index</t>
  </si>
  <si>
    <t>Napo</t>
  </si>
  <si>
    <t>Naptha Koch</t>
  </si>
  <si>
    <t>national association of purchasing managers (napm)</t>
  </si>
  <si>
    <t>national association of purchasing managers index</t>
  </si>
  <si>
    <t>national budget</t>
  </si>
  <si>
    <t>national debt</t>
  </si>
  <si>
    <t>national debt clock</t>
  </si>
  <si>
    <t>national deficit</t>
  </si>
  <si>
    <t>national income</t>
  </si>
  <si>
    <t>national iranian oil</t>
  </si>
  <si>
    <t>nationalization</t>
  </si>
  <si>
    <t>natural capital</t>
  </si>
  <si>
    <t>natural capitalism</t>
  </si>
  <si>
    <t>natural gas</t>
  </si>
  <si>
    <t>Natural Gas Cycling</t>
  </si>
  <si>
    <t>Natural Gas Injection</t>
  </si>
  <si>
    <t>natural resources</t>
  </si>
  <si>
    <t>NEGATIVE</t>
  </si>
  <si>
    <t>NEGATIVELY</t>
  </si>
  <si>
    <t>NEGATIVES</t>
  </si>
  <si>
    <t>negishi yokahama refinery</t>
  </si>
  <si>
    <t>NEGLECT</t>
  </si>
  <si>
    <t>NEGLECTED</t>
  </si>
  <si>
    <t>NEGLECTFUL</t>
  </si>
  <si>
    <t>NEGLECTING</t>
  </si>
  <si>
    <t>NEGLECTS</t>
  </si>
  <si>
    <t>NEGLIGENCE</t>
  </si>
  <si>
    <t>NEGLIGENCES</t>
  </si>
  <si>
    <t>NEGLIGENT</t>
  </si>
  <si>
    <t>NEGLIGENTLY</t>
  </si>
  <si>
    <t>neither</t>
  </si>
  <si>
    <t>Nemba</t>
  </si>
  <si>
    <t>net book value</t>
  </si>
  <si>
    <t>net cash</t>
  </si>
  <si>
    <t>net domestic product</t>
  </si>
  <si>
    <t>net income</t>
  </si>
  <si>
    <t xml:space="preserve">net income before taxes </t>
  </si>
  <si>
    <t>net operating loss</t>
  </si>
  <si>
    <t>net present value</t>
  </si>
  <si>
    <t>net property, plant and equipment gross</t>
  </si>
  <si>
    <t>net sales</t>
  </si>
  <si>
    <t>netherlands</t>
  </si>
  <si>
    <t xml:space="preserve">Neutral oil </t>
  </si>
  <si>
    <t>never</t>
  </si>
  <si>
    <t>new home sales</t>
  </si>
  <si>
    <t xml:space="preserve">new orleans refining co </t>
  </si>
  <si>
    <t>New Zafiro Blend</t>
  </si>
  <si>
    <t>NFC II</t>
  </si>
  <si>
    <t>nigeria</t>
  </si>
  <si>
    <t>nigeria national oil</t>
  </si>
  <si>
    <t>nigerian national petroleum</t>
  </si>
  <si>
    <t>Nile Blend</t>
  </si>
  <si>
    <t>nioc</t>
  </si>
  <si>
    <t xml:space="preserve">nipponoil </t>
  </si>
  <si>
    <t xml:space="preserve">Nitration </t>
  </si>
  <si>
    <t>nizhne-chutinskoe</t>
  </si>
  <si>
    <t>Njord</t>
  </si>
  <si>
    <t>N'kossa</t>
  </si>
  <si>
    <t>nnpc</t>
  </si>
  <si>
    <t>no</t>
  </si>
  <si>
    <t>nol</t>
  </si>
  <si>
    <t>nominal gdp</t>
  </si>
  <si>
    <t>Non-Associated Natural Gas</t>
  </si>
  <si>
    <t>NONATTAINMENT</t>
  </si>
  <si>
    <t>noncash payment instrument</t>
  </si>
  <si>
    <t>NONCOMPETITIVE</t>
  </si>
  <si>
    <t>NONCOMPLIANCE</t>
  </si>
  <si>
    <t>NONCOMPLIANCES</t>
  </si>
  <si>
    <t>NONCOMPLIANT</t>
  </si>
  <si>
    <t>NONCOMPLYING</t>
  </si>
  <si>
    <t>NONCONFORMING</t>
  </si>
  <si>
    <t>NONCONFORMITIES</t>
  </si>
  <si>
    <t>NONCONFORMITY</t>
  </si>
  <si>
    <t>non-current assets</t>
  </si>
  <si>
    <t>non-current liabilities</t>
  </si>
  <si>
    <t>NONDISCLOSURE</t>
  </si>
  <si>
    <t>nondiversifiable risk</t>
  </si>
  <si>
    <t>non-durable good</t>
  </si>
  <si>
    <t>none</t>
  </si>
  <si>
    <t>non-farm payroll</t>
  </si>
  <si>
    <t>NONFUNCTIONAL</t>
  </si>
  <si>
    <t>non-operating expense</t>
  </si>
  <si>
    <t>non-operating income</t>
  </si>
  <si>
    <t>NONPAYMENT</t>
  </si>
  <si>
    <t>NONPAYMENTS</t>
  </si>
  <si>
    <t>NONPERFORMANCE</t>
  </si>
  <si>
    <t>NONPERFORMANCES</t>
  </si>
  <si>
    <t>NONPERFORMING</t>
  </si>
  <si>
    <t>NONPRODUCING</t>
  </si>
  <si>
    <t>NONPRODUCTIVE</t>
  </si>
  <si>
    <t>NONRECOVERABLE</t>
  </si>
  <si>
    <t>NONRENEWAL</t>
  </si>
  <si>
    <t>nor</t>
  </si>
  <si>
    <t>Norne</t>
  </si>
  <si>
    <t>north-caucasus basin</t>
  </si>
  <si>
    <t>north-dolginskoye</t>
  </si>
  <si>
    <t>Northwest Shelf Condensate</t>
  </si>
  <si>
    <t>not</t>
  </si>
  <si>
    <t>nov</t>
  </si>
  <si>
    <t>november</t>
  </si>
  <si>
    <t>novoil</t>
  </si>
  <si>
    <t>novo-ufa refinery</t>
  </si>
  <si>
    <t>now</t>
  </si>
  <si>
    <t>Nowruz</t>
  </si>
  <si>
    <t>npv</t>
  </si>
  <si>
    <t>NUISANCE</t>
  </si>
  <si>
    <t>NUISANCES</t>
  </si>
  <si>
    <t>NULLIFICATION</t>
  </si>
  <si>
    <t>NULLIFICATIONS</t>
  </si>
  <si>
    <t>NULLIFIED</t>
  </si>
  <si>
    <t>NULLIFIES</t>
  </si>
  <si>
    <t>NULLIFY</t>
  </si>
  <si>
    <t>NULLIFYING</t>
  </si>
  <si>
    <t>nursultan</t>
  </si>
  <si>
    <t>ny empire manufacturing index</t>
  </si>
  <si>
    <t>obamanomics</t>
  </si>
  <si>
    <t>OBJECTED</t>
  </si>
  <si>
    <t>OBJECTING</t>
  </si>
  <si>
    <t>OBJECTION</t>
  </si>
  <si>
    <t>OBJECTIONABLE</t>
  </si>
  <si>
    <t>OBJECTIONABLY</t>
  </si>
  <si>
    <t>OBJECTIONS</t>
  </si>
  <si>
    <t>OBSCENE</t>
  </si>
  <si>
    <t>OBSCENITY</t>
  </si>
  <si>
    <t>OBSOLESCENCE</t>
  </si>
  <si>
    <t>OBSOLETE</t>
  </si>
  <si>
    <t>OBSTACLE</t>
  </si>
  <si>
    <t>OBSTACLES</t>
  </si>
  <si>
    <t>OBSTRUCT</t>
  </si>
  <si>
    <t>OBSTRUCTED</t>
  </si>
  <si>
    <t>OBSTRUCTING</t>
  </si>
  <si>
    <t>OBSTRUCTION</t>
  </si>
  <si>
    <t>OBSTRUCTIONS</t>
  </si>
  <si>
    <t>oct</t>
  </si>
  <si>
    <t>octane number</t>
  </si>
  <si>
    <t>october</t>
  </si>
  <si>
    <t>odoptu</t>
  </si>
  <si>
    <t>Odorant</t>
  </si>
  <si>
    <t>Odudu</t>
  </si>
  <si>
    <t>oecd</t>
  </si>
  <si>
    <t>of</t>
  </si>
  <si>
    <t>OFFENCE</t>
  </si>
  <si>
    <t>OFFENCES</t>
  </si>
  <si>
    <t>OFFEND</t>
  </si>
  <si>
    <t>OFFENDED</t>
  </si>
  <si>
    <t>OFFENDER</t>
  </si>
  <si>
    <t>OFFENDERS</t>
  </si>
  <si>
    <t>OFFENDING</t>
  </si>
  <si>
    <t>OFFENDS</t>
  </si>
  <si>
    <t>office of financial stability</t>
  </si>
  <si>
    <t>official settlements account</t>
  </si>
  <si>
    <t>offshore</t>
  </si>
  <si>
    <t>offshore oil block</t>
  </si>
  <si>
    <t>offshore oil blocks</t>
  </si>
  <si>
    <t>Offshore Oil Loading Nomenclature</t>
  </si>
  <si>
    <t>offshore oil rig</t>
  </si>
  <si>
    <t>Offshore Production Platform</t>
  </si>
  <si>
    <t>offshoring</t>
  </si>
  <si>
    <t>Oguendjo</t>
  </si>
  <si>
    <t>oil block</t>
  </si>
  <si>
    <t>oil block licensing</t>
  </si>
  <si>
    <t>oil blocks</t>
  </si>
  <si>
    <t>Oil in Place</t>
  </si>
  <si>
    <t>oil platform</t>
  </si>
  <si>
    <t>Oil Production</t>
  </si>
  <si>
    <t>oil refinery</t>
  </si>
  <si>
    <t>oil reserves</t>
  </si>
  <si>
    <t>oil rig</t>
  </si>
  <si>
    <t>Oil Sands</t>
  </si>
  <si>
    <t>Oil Shale</t>
  </si>
  <si>
    <t>oil well</t>
  </si>
  <si>
    <t>oil-bearing reservoir</t>
  </si>
  <si>
    <t>Okono</t>
  </si>
  <si>
    <t>oligopoly</t>
  </si>
  <si>
    <t>oligopsony</t>
  </si>
  <si>
    <t>Olmeca</t>
  </si>
  <si>
    <t>Oman Blend</t>
  </si>
  <si>
    <t>OMISSION</t>
  </si>
  <si>
    <t>OMISSIONS</t>
  </si>
  <si>
    <t>OMIT</t>
  </si>
  <si>
    <t>OMITS</t>
  </si>
  <si>
    <t>OMITTED</t>
  </si>
  <si>
    <t>OMITTING</t>
  </si>
  <si>
    <t>omsk refinery</t>
  </si>
  <si>
    <t>on</t>
  </si>
  <si>
    <t>on consignment</t>
  </si>
  <si>
    <t>ONEROUS</t>
  </si>
  <si>
    <t>only</t>
  </si>
  <si>
    <t>onto</t>
  </si>
  <si>
    <t>opec</t>
  </si>
  <si>
    <t>open</t>
  </si>
  <si>
    <t>open economy</t>
  </si>
  <si>
    <t>open market operation</t>
  </si>
  <si>
    <t>open market rates</t>
  </si>
  <si>
    <t>operating expenses</t>
  </si>
  <si>
    <t>operating income</t>
  </si>
  <si>
    <t>operating lease</t>
  </si>
  <si>
    <t>operating profit</t>
  </si>
  <si>
    <t>operating rate</t>
  </si>
  <si>
    <t>Operator</t>
  </si>
  <si>
    <t>OPPORTUNISTIC</t>
  </si>
  <si>
    <t>OPPORTUNISTICALLY</t>
  </si>
  <si>
    <t>OPPORTUNITIES</t>
  </si>
  <si>
    <t>OPPORTUNITY</t>
  </si>
  <si>
    <t>OPPOSE</t>
  </si>
  <si>
    <t>OPPOSED</t>
  </si>
  <si>
    <t>OPPOSES</t>
  </si>
  <si>
    <t>OPPOSING</t>
  </si>
  <si>
    <t>OPPOSITION</t>
  </si>
  <si>
    <t>OPPOSITIONS</t>
  </si>
  <si>
    <t>OPTIMISTIC</t>
  </si>
  <si>
    <t>optimize</t>
  </si>
  <si>
    <t>or</t>
  </si>
  <si>
    <t>Oriente</t>
  </si>
  <si>
    <t>Ormen Lange condensate</t>
  </si>
  <si>
    <t>oseberg</t>
  </si>
  <si>
    <t>Oseberg Blend</t>
  </si>
  <si>
    <t>Osgard Blend</t>
  </si>
  <si>
    <t>Oso Condensate</t>
  </si>
  <si>
    <t>other</t>
  </si>
  <si>
    <t>other assets</t>
  </si>
  <si>
    <t>other expenses</t>
  </si>
  <si>
    <t>other income</t>
  </si>
  <si>
    <t>other liabilities</t>
  </si>
  <si>
    <t>our</t>
  </si>
  <si>
    <t>ourself</t>
  </si>
  <si>
    <t>OUTAGE</t>
  </si>
  <si>
    <t>OUTAGES</t>
  </si>
  <si>
    <t>OUTDATED</t>
  </si>
  <si>
    <t>OUTMODED</t>
  </si>
  <si>
    <t>OUTPERFORM</t>
  </si>
  <si>
    <t>OUTPERFORMED</t>
  </si>
  <si>
    <t>OUTPERFORMING</t>
  </si>
  <si>
    <t>OUTPERFORMS</t>
  </si>
  <si>
    <t>OUTSTANDING</t>
  </si>
  <si>
    <t>over</t>
  </si>
  <si>
    <t>overage</t>
  </si>
  <si>
    <t>OVERAGES</t>
  </si>
  <si>
    <t>OVERBUILD</t>
  </si>
  <si>
    <t>OVERBUILDING</t>
  </si>
  <si>
    <t>OVERBUILDS</t>
  </si>
  <si>
    <t>OVERBUILT</t>
  </si>
  <si>
    <t>OVERBURDEN</t>
  </si>
  <si>
    <t>OVERBURDENED</t>
  </si>
  <si>
    <t>OVERBURDENING</t>
  </si>
  <si>
    <t>OVERCAPACITIES</t>
  </si>
  <si>
    <t>OVERCAPACITY</t>
  </si>
  <si>
    <t>OVERCHARGE</t>
  </si>
  <si>
    <t>OVERCHARGED</t>
  </si>
  <si>
    <t>OVERCHARGES</t>
  </si>
  <si>
    <t>OVERCHARGING</t>
  </si>
  <si>
    <t>OVERCOME</t>
  </si>
  <si>
    <t>OVERCOMES</t>
  </si>
  <si>
    <t>OVERCOMING</t>
  </si>
  <si>
    <t>OVERDUE</t>
  </si>
  <si>
    <t>OVERESTIMATE</t>
  </si>
  <si>
    <t>OVERESTIMATED</t>
  </si>
  <si>
    <t>OVERESTIMATES</t>
  </si>
  <si>
    <t>OVERESTIMATING</t>
  </si>
  <si>
    <t>OVERESTIMATION</t>
  </si>
  <si>
    <t>OVERESTIMATIONS</t>
  </si>
  <si>
    <t>overhead</t>
  </si>
  <si>
    <t>overheating</t>
  </si>
  <si>
    <t>OVERLOAD</t>
  </si>
  <si>
    <t>OVERLOADED</t>
  </si>
  <si>
    <t>OVERLOADING</t>
  </si>
  <si>
    <t>OVERLOADS</t>
  </si>
  <si>
    <t>OVERLOOK</t>
  </si>
  <si>
    <t>OVERLOOKED</t>
  </si>
  <si>
    <t>OVERLOOKING</t>
  </si>
  <si>
    <t>OVERLOOKS</t>
  </si>
  <si>
    <t>OVERPAID</t>
  </si>
  <si>
    <t>OVERPAYMENT</t>
  </si>
  <si>
    <t>OVERPAYMENTS</t>
  </si>
  <si>
    <t>OVERPRODUCED</t>
  </si>
  <si>
    <t>OVERPRODUCES</t>
  </si>
  <si>
    <t>OVERPRODUCING</t>
  </si>
  <si>
    <t>OVERPRODUCTION</t>
  </si>
  <si>
    <t>OVERRUN</t>
  </si>
  <si>
    <t>OVERRUNNING</t>
  </si>
  <si>
    <t>OVERRUNS</t>
  </si>
  <si>
    <t>OVERSHADOW</t>
  </si>
  <si>
    <t>OVERSHADOWED</t>
  </si>
  <si>
    <t>OVERSHADOWING</t>
  </si>
  <si>
    <t>OVERSHADOWS</t>
  </si>
  <si>
    <t>OVERSTATE</t>
  </si>
  <si>
    <t>OVERSTATED</t>
  </si>
  <si>
    <t>OVERSTATEMENT</t>
  </si>
  <si>
    <t>OVERSTATEMENTS</t>
  </si>
  <si>
    <t>OVERSTATES</t>
  </si>
  <si>
    <t>OVERSTATING</t>
  </si>
  <si>
    <t>OVERSUPPLIED</t>
  </si>
  <si>
    <t>OVERSUPPLIES</t>
  </si>
  <si>
    <t>OVERSUPPLY</t>
  </si>
  <si>
    <t>OVERSUPPLYING</t>
  </si>
  <si>
    <t>OVERTLY</t>
  </si>
  <si>
    <t>OVERTURN</t>
  </si>
  <si>
    <t>OVERTURNED</t>
  </si>
  <si>
    <t>OVERTURNING</t>
  </si>
  <si>
    <t>OVERTURNS</t>
  </si>
  <si>
    <t>OVERVALUE</t>
  </si>
  <si>
    <t>overvalued</t>
  </si>
  <si>
    <t>OVERVALUING</t>
  </si>
  <si>
    <t>own</t>
  </si>
  <si>
    <t>owners' equity</t>
  </si>
  <si>
    <t xml:space="preserve">Oxidation </t>
  </si>
  <si>
    <t>p&amp;l</t>
  </si>
  <si>
    <t>Palanca</t>
  </si>
  <si>
    <t>PANIC</t>
  </si>
  <si>
    <t>PANICS</t>
  </si>
  <si>
    <t>panipat refinery</t>
  </si>
  <si>
    <t>Panyu</t>
  </si>
  <si>
    <t>par value</t>
  </si>
  <si>
    <t>paraguana refining complex</t>
  </si>
  <si>
    <t>pareto improvement</t>
  </si>
  <si>
    <t>pareto's law</t>
  </si>
  <si>
    <t>Pay</t>
  </si>
  <si>
    <t>payables</t>
  </si>
  <si>
    <t>payroll</t>
  </si>
  <si>
    <t>pdvsa</t>
  </si>
  <si>
    <t>p-e</t>
  </si>
  <si>
    <t>peace dividend</t>
  </si>
  <si>
    <t>pemex</t>
  </si>
  <si>
    <t>PENALIZE</t>
  </si>
  <si>
    <t>PENALIZED</t>
  </si>
  <si>
    <t>PENALIZES</t>
  </si>
  <si>
    <t>PENALIZING</t>
  </si>
  <si>
    <t>PENALTIES</t>
  </si>
  <si>
    <t>PENALTY</t>
  </si>
  <si>
    <t>pending home sales</t>
  </si>
  <si>
    <t>Peng Lai</t>
  </si>
  <si>
    <t>Pennington</t>
  </si>
  <si>
    <t>Pentanes Plus</t>
  </si>
  <si>
    <t>per capita</t>
  </si>
  <si>
    <t>per capita income</t>
  </si>
  <si>
    <t>PERFECT</t>
  </si>
  <si>
    <t>PERFECTED</t>
  </si>
  <si>
    <t>PERFECTLY</t>
  </si>
  <si>
    <t>PERFECTS</t>
  </si>
  <si>
    <t>PERIL</t>
  </si>
  <si>
    <t>PERILS</t>
  </si>
  <si>
    <t>period certain</t>
  </si>
  <si>
    <t>period expenses</t>
  </si>
  <si>
    <t>periodicity</t>
  </si>
  <si>
    <t>periods</t>
  </si>
  <si>
    <t>PERJURY</t>
  </si>
  <si>
    <t>pernis refinery</t>
  </si>
  <si>
    <t>PERPETRATE</t>
  </si>
  <si>
    <t>PERPETRATED</t>
  </si>
  <si>
    <t>PERPETRATES</t>
  </si>
  <si>
    <t>PERPETRATING</t>
  </si>
  <si>
    <t>PERPETRATION</t>
  </si>
  <si>
    <t>PERSIST</t>
  </si>
  <si>
    <t>PERSISTED</t>
  </si>
  <si>
    <t>PERSISTENCE</t>
  </si>
  <si>
    <t>PERSISTENT</t>
  </si>
  <si>
    <t>PERSISTENTLY</t>
  </si>
  <si>
    <t>PERSISTING</t>
  </si>
  <si>
    <t>PERSISTS</t>
  </si>
  <si>
    <t>personal consumption expenditures</t>
  </si>
  <si>
    <t>personal inflation rate</t>
  </si>
  <si>
    <t xml:space="preserve">pertamina </t>
  </si>
  <si>
    <t>PERVASIVE</t>
  </si>
  <si>
    <t>PERVASIVELY</t>
  </si>
  <si>
    <t>PERVASIVENESS</t>
  </si>
  <si>
    <t>petr?leos de venezuela</t>
  </si>
  <si>
    <t>petrobras</t>
  </si>
  <si>
    <t>petrochina</t>
  </si>
  <si>
    <t>petroleum</t>
  </si>
  <si>
    <t>Petroleum Coke</t>
  </si>
  <si>
    <t>Petroleum Liquids</t>
  </si>
  <si>
    <t>Petroleum play</t>
  </si>
  <si>
    <t>Petrozuata Heavy</t>
  </si>
  <si>
    <t>PETTY</t>
  </si>
  <si>
    <t>phillips curve</t>
  </si>
  <si>
    <t>PICKET</t>
  </si>
  <si>
    <t>PICKETED</t>
  </si>
  <si>
    <t>PICKETING</t>
  </si>
  <si>
    <t>Pierce</t>
  </si>
  <si>
    <t>Pig</t>
  </si>
  <si>
    <t>Piling</t>
  </si>
  <si>
    <t>piltun-astokhskoye</t>
  </si>
  <si>
    <t>Pipeline</t>
  </si>
  <si>
    <t>Piston corers</t>
  </si>
  <si>
    <t>PLAINTIFF</t>
  </si>
  <si>
    <t>PLAINTIFFS</t>
  </si>
  <si>
    <t>plan period</t>
  </si>
  <si>
    <t>planned economy</t>
  </si>
  <si>
    <t>Plateau</t>
  </si>
  <si>
    <t>Platform</t>
  </si>
  <si>
    <t>Platform Nomenclature</t>
  </si>
  <si>
    <t>plaza accord</t>
  </si>
  <si>
    <t>PLEA</t>
  </si>
  <si>
    <t>PLEAD</t>
  </si>
  <si>
    <t>PLEADED</t>
  </si>
  <si>
    <t>PLEADING</t>
  </si>
  <si>
    <t>PLEADINGS</t>
  </si>
  <si>
    <t>PLEADS</t>
  </si>
  <si>
    <t>PLEAS</t>
  </si>
  <si>
    <t>PLEASANT</t>
  </si>
  <si>
    <t>PLEASANTLY</t>
  </si>
  <si>
    <t>PLEASED</t>
  </si>
  <si>
    <t>PLEASURE</t>
  </si>
  <si>
    <t>PLED</t>
  </si>
  <si>
    <t>PLENTIFUL</t>
  </si>
  <si>
    <t>Plugged &amp; Abandoned</t>
  </si>
  <si>
    <t>Plugging</t>
  </si>
  <si>
    <t>Plutonio</t>
  </si>
  <si>
    <t>point</t>
  </si>
  <si>
    <t>points</t>
  </si>
  <si>
    <t>political economy</t>
  </si>
  <si>
    <t>POOR</t>
  </si>
  <si>
    <t>POORLY</t>
  </si>
  <si>
    <t>POPULAR</t>
  </si>
  <si>
    <t>POPULARITY</t>
  </si>
  <si>
    <t>population</t>
  </si>
  <si>
    <t>port arthur refinery</t>
  </si>
  <si>
    <t>Port Hudson</t>
  </si>
  <si>
    <t>Poseidon Streams</t>
  </si>
  <si>
    <t>POSES</t>
  </si>
  <si>
    <t>POSING</t>
  </si>
  <si>
    <t>positioning</t>
  </si>
  <si>
    <t>POSITIVE</t>
  </si>
  <si>
    <t>POSITIVELY</t>
  </si>
  <si>
    <t>POSTPONE</t>
  </si>
  <si>
    <t>POSTPONED</t>
  </si>
  <si>
    <t>POSTPONEMENT</t>
  </si>
  <si>
    <t>POSTPONEMENTS</t>
  </si>
  <si>
    <t>POSTPONES</t>
  </si>
  <si>
    <t>POSTPONING</t>
  </si>
  <si>
    <t xml:space="preserve">Pour point </t>
  </si>
  <si>
    <t>pp</t>
  </si>
  <si>
    <t>pp&amp;e</t>
  </si>
  <si>
    <t>ppi</t>
  </si>
  <si>
    <t>PRECIPITATED</t>
  </si>
  <si>
    <t>PRECIPITOUS</t>
  </si>
  <si>
    <t>PRECIPITOUSLY</t>
  </si>
  <si>
    <t>PRECLUDE</t>
  </si>
  <si>
    <t>PRECLUDED</t>
  </si>
  <si>
    <t>PRECLUDES</t>
  </si>
  <si>
    <t>PRECLUDING</t>
  </si>
  <si>
    <t>PREDATORY</t>
  </si>
  <si>
    <t>PREEMINENCE</t>
  </si>
  <si>
    <t>PREEMINENT</t>
  </si>
  <si>
    <t>PREJUDICE</t>
  </si>
  <si>
    <t>PREJUDICED</t>
  </si>
  <si>
    <t>PREJUDICES</t>
  </si>
  <si>
    <t>PREJUDICIAL</t>
  </si>
  <si>
    <t>PREJUDICING</t>
  </si>
  <si>
    <t>PREMATURE</t>
  </si>
  <si>
    <t>PREMATURELY</t>
  </si>
  <si>
    <t>PREMIER</t>
  </si>
  <si>
    <t>PREMIERE</t>
  </si>
  <si>
    <t>Premium Albian</t>
  </si>
  <si>
    <t>prepaid expenses</t>
  </si>
  <si>
    <t>PRESSING</t>
  </si>
  <si>
    <t>Pressure Core Sampler</t>
  </si>
  <si>
    <t>PRESTIGE</t>
  </si>
  <si>
    <t>PRESTIGIOUS</t>
  </si>
  <si>
    <t>PRETRIAL</t>
  </si>
  <si>
    <t>Preventative maintenance</t>
  </si>
  <si>
    <t>PREVENTING</t>
  </si>
  <si>
    <t>PREVENTION</t>
  </si>
  <si>
    <t>PREVENTS</t>
  </si>
  <si>
    <t>price discovery</t>
  </si>
  <si>
    <t>price efficiency</t>
  </si>
  <si>
    <t>price index</t>
  </si>
  <si>
    <t>price list</t>
  </si>
  <si>
    <t>price maker</t>
  </si>
  <si>
    <t>price stability</t>
  </si>
  <si>
    <t>price taker</t>
  </si>
  <si>
    <t>price/earnings ratio</t>
  </si>
  <si>
    <t>Primary Recovery</t>
  </si>
  <si>
    <t>prime rate</t>
  </si>
  <si>
    <t>principal</t>
  </si>
  <si>
    <t>priobskoye</t>
  </si>
  <si>
    <t>prirazlomnoye</t>
  </si>
  <si>
    <t>private debt</t>
  </si>
  <si>
    <t>private sector</t>
  </si>
  <si>
    <t>privatization</t>
  </si>
  <si>
    <t>PROACTIVE</t>
  </si>
  <si>
    <t>PROACTIVELY</t>
  </si>
  <si>
    <t>PROBLEM</t>
  </si>
  <si>
    <t>PROBLEMATIC</t>
  </si>
  <si>
    <t>PROBLEMATICAL</t>
  </si>
  <si>
    <t>PROBLEMS</t>
  </si>
  <si>
    <t>Produced Water</t>
  </si>
  <si>
    <t>producer price index</t>
  </si>
  <si>
    <t>Production Drilling</t>
  </si>
  <si>
    <t>Production Installation</t>
  </si>
  <si>
    <t>production possibility frontier</t>
  </si>
  <si>
    <t>production sharing agreement</t>
  </si>
  <si>
    <t>Production String</t>
  </si>
  <si>
    <t>production well</t>
  </si>
  <si>
    <t>productivity</t>
  </si>
  <si>
    <t>productivity report</t>
  </si>
  <si>
    <t>PROFICIENCY</t>
  </si>
  <si>
    <t>PROFICIENT</t>
  </si>
  <si>
    <t>PROFICIENTLY</t>
  </si>
  <si>
    <t>profit</t>
  </si>
  <si>
    <t xml:space="preserve">profit &amp; loss statement </t>
  </si>
  <si>
    <t>PROFITABILITY</t>
  </si>
  <si>
    <t>profitable</t>
  </si>
  <si>
    <t>PROFITABLE</t>
  </si>
  <si>
    <t>PROFITABLY</t>
  </si>
  <si>
    <t>pro-forma financial statements</t>
  </si>
  <si>
    <t>PROGRESS</t>
  </si>
  <si>
    <t>PROGRESSED</t>
  </si>
  <si>
    <t>PROGRESSES</t>
  </si>
  <si>
    <t>PROGRESSING</t>
  </si>
  <si>
    <t>project link</t>
  </si>
  <si>
    <t>PROLONG</t>
  </si>
  <si>
    <t>PROLONGATION</t>
  </si>
  <si>
    <t>PROLONGATIONS</t>
  </si>
  <si>
    <t>PROLONGED</t>
  </si>
  <si>
    <t>PROLONGING</t>
  </si>
  <si>
    <t>PROLONGS</t>
  </si>
  <si>
    <t>prompt payment discounts</t>
  </si>
  <si>
    <t>PRONE</t>
  </si>
  <si>
    <t xml:space="preserve">property, plant and equipment </t>
  </si>
  <si>
    <t>PROSECUTE</t>
  </si>
  <si>
    <t>PROSECUTED</t>
  </si>
  <si>
    <t>PROSECUTES</t>
  </si>
  <si>
    <t>PROSECUTING</t>
  </si>
  <si>
    <t>PROSECUTION</t>
  </si>
  <si>
    <t>PROSECUTIONS</t>
  </si>
  <si>
    <t>prospect</t>
  </si>
  <si>
    <t>PROSPERED</t>
  </si>
  <si>
    <t>PROSPERING</t>
  </si>
  <si>
    <t>PROSPERITY</t>
  </si>
  <si>
    <t>PROSPEROUS</t>
  </si>
  <si>
    <t>PROSPERS</t>
  </si>
  <si>
    <t>protectionism</t>
  </si>
  <si>
    <t>PROTEST</t>
  </si>
  <si>
    <t>PROTESTED</t>
  </si>
  <si>
    <t>PROTESTER</t>
  </si>
  <si>
    <t>PROTESTERS</t>
  </si>
  <si>
    <t>PROTESTING</t>
  </si>
  <si>
    <t>PROTESTOR</t>
  </si>
  <si>
    <t>PROTESTORS</t>
  </si>
  <si>
    <t>PROTESTS</t>
  </si>
  <si>
    <t>PROTRACTED</t>
  </si>
  <si>
    <t>PROTRACTION</t>
  </si>
  <si>
    <t>proven oil reserves</t>
  </si>
  <si>
    <t>PROVOKE</t>
  </si>
  <si>
    <t>PROVOKED</t>
  </si>
  <si>
    <t>PROVOKES</t>
  </si>
  <si>
    <t>PROVOKING</t>
  </si>
  <si>
    <t>prudhoebay</t>
  </si>
  <si>
    <t>public goods</t>
  </si>
  <si>
    <t>public sector</t>
  </si>
  <si>
    <t>public works project</t>
  </si>
  <si>
    <t>public-private investment program (ppip)</t>
  </si>
  <si>
    <t>Puerto José</t>
  </si>
  <si>
    <t>pulau bukom refinery</t>
  </si>
  <si>
    <t xml:space="preserve">Pumpability </t>
  </si>
  <si>
    <t>Pumping Station</t>
  </si>
  <si>
    <t>PUNISHED</t>
  </si>
  <si>
    <t>PUNISHES</t>
  </si>
  <si>
    <t>PUNISHING</t>
  </si>
  <si>
    <t>PUNISHMENT</t>
  </si>
  <si>
    <t>PUNISHMENTS</t>
  </si>
  <si>
    <t>PUNITIVE</t>
  </si>
  <si>
    <t>purchases of pp&amp;e</t>
  </si>
  <si>
    <t>purchasing power of the dollar</t>
  </si>
  <si>
    <t>pure competition</t>
  </si>
  <si>
    <t>PURPORT</t>
  </si>
  <si>
    <t>PURPORTED</t>
  </si>
  <si>
    <t>PURPORTEDLY</t>
  </si>
  <si>
    <t>PURPORTING</t>
  </si>
  <si>
    <t>PURPORTS</t>
  </si>
  <si>
    <t>put</t>
  </si>
  <si>
    <t>put option</t>
  </si>
  <si>
    <t>putting</t>
  </si>
  <si>
    <t>Qatar Marine</t>
  </si>
  <si>
    <t>Qua Iboe</t>
  </si>
  <si>
    <t>quantity demanded</t>
  </si>
  <si>
    <t>QUESTION</t>
  </si>
  <si>
    <t>QUESTIONABLE</t>
  </si>
  <si>
    <t>QUESTIONABLY</t>
  </si>
  <si>
    <t>QUESTIONED</t>
  </si>
  <si>
    <t>QUESTIONING</t>
  </si>
  <si>
    <t>QUESTIONS</t>
  </si>
  <si>
    <t>quick ratio</t>
  </si>
  <si>
    <t>QUIT</t>
  </si>
  <si>
    <t>quite</t>
  </si>
  <si>
    <t>QUITTING</t>
  </si>
  <si>
    <t>quotation american terms</t>
  </si>
  <si>
    <t>quotation european terms</t>
  </si>
  <si>
    <t>r&amp;d</t>
  </si>
  <si>
    <t>Rabi Light</t>
  </si>
  <si>
    <t>rabigh refinery</t>
  </si>
  <si>
    <t>RACKETEER</t>
  </si>
  <si>
    <t>RACKETEERING</t>
  </si>
  <si>
    <t>Rang Dong</t>
  </si>
  <si>
    <t>ras lanuf refinery</t>
  </si>
  <si>
    <t>ras tanura refinery</t>
  </si>
  <si>
    <t>ratcheted demand charge</t>
  </si>
  <si>
    <t>RATIONALIZATION</t>
  </si>
  <si>
    <t>RATIONALIZATIONS</t>
  </si>
  <si>
    <t>RATIONALIZE</t>
  </si>
  <si>
    <t>RATIONALIZED</t>
  </si>
  <si>
    <t>RATIONALIZES</t>
  </si>
  <si>
    <t>RATIONALIZING</t>
  </si>
  <si>
    <t>raudhatain</t>
  </si>
  <si>
    <t>raw materials</t>
  </si>
  <si>
    <t>reaganomics</t>
  </si>
  <si>
    <t>real economic growth rate</t>
  </si>
  <si>
    <t>real gain or loss</t>
  </si>
  <si>
    <t>real gdp</t>
  </si>
  <si>
    <t>REASSESSMENT</t>
  </si>
  <si>
    <t>REASSESSMENTS</t>
  </si>
  <si>
    <t>REASSIGN</t>
  </si>
  <si>
    <t>REASSIGNED</t>
  </si>
  <si>
    <t>REASSIGNING</t>
  </si>
  <si>
    <t>REASSIGNMENT</t>
  </si>
  <si>
    <t>REASSIGNMENTS</t>
  </si>
  <si>
    <t>REASSIGNS</t>
  </si>
  <si>
    <t>reboiler</t>
  </si>
  <si>
    <t>REBOUND</t>
  </si>
  <si>
    <t>REBOUNDED</t>
  </si>
  <si>
    <t>REBOUNDING</t>
  </si>
  <si>
    <t>RECALL</t>
  </si>
  <si>
    <t>RECALLED</t>
  </si>
  <si>
    <t>RECALLING</t>
  </si>
  <si>
    <t>RECALLS</t>
  </si>
  <si>
    <t>receivables</t>
  </si>
  <si>
    <t>RECEPTIVE</t>
  </si>
  <si>
    <t>recession</t>
  </si>
  <si>
    <t>recession resistant</t>
  </si>
  <si>
    <t>RECESSIONARY</t>
  </si>
  <si>
    <t>RECESSIONS</t>
  </si>
  <si>
    <t>RECKLESS</t>
  </si>
  <si>
    <t>RECKLESSLY</t>
  </si>
  <si>
    <t>RECKLESSNESS</t>
  </si>
  <si>
    <t>recognition lag</t>
  </si>
  <si>
    <t>recovery</t>
  </si>
  <si>
    <t>Recovery Factor</t>
  </si>
  <si>
    <t>REDACT</t>
  </si>
  <si>
    <t>REDACTED</t>
  </si>
  <si>
    <t>REDACTING</t>
  </si>
  <si>
    <t>REDACTION</t>
  </si>
  <si>
    <t>REDACTIONS</t>
  </si>
  <si>
    <t>Redetermination</t>
  </si>
  <si>
    <t>REDRESS</t>
  </si>
  <si>
    <t>REDRESSED</t>
  </si>
  <si>
    <t>REDRESSES</t>
  </si>
  <si>
    <t>REDRESSING</t>
  </si>
  <si>
    <t>reduced crude oil</t>
  </si>
  <si>
    <t>Re-entry</t>
  </si>
  <si>
    <t>REFINANCE</t>
  </si>
  <si>
    <t>REFINANCED</t>
  </si>
  <si>
    <t>REFINANCES</t>
  </si>
  <si>
    <t>REFINANCING</t>
  </si>
  <si>
    <t>REFINANCINGS</t>
  </si>
  <si>
    <t>refinery</t>
  </si>
  <si>
    <t xml:space="preserve">Refining </t>
  </si>
  <si>
    <t>reflation</t>
  </si>
  <si>
    <t>reforming</t>
  </si>
  <si>
    <t>REFUSAL</t>
  </si>
  <si>
    <t>REFUSALS</t>
  </si>
  <si>
    <t>REFUSE</t>
  </si>
  <si>
    <t>REFUSED</t>
  </si>
  <si>
    <t>REFUSES</t>
  </si>
  <si>
    <t>REFUSING</t>
  </si>
  <si>
    <t>REGAIN</t>
  </si>
  <si>
    <t>REGAINED</t>
  </si>
  <si>
    <t>REGAINING</t>
  </si>
  <si>
    <t>regulatory system</t>
  </si>
  <si>
    <t>Reinjection</t>
  </si>
  <si>
    <t>REJECT</t>
  </si>
  <si>
    <t>REJECTED</t>
  </si>
  <si>
    <t>REJECTING</t>
  </si>
  <si>
    <t>REJECTION</t>
  </si>
  <si>
    <t>REJECTIONS</t>
  </si>
  <si>
    <t>REJECTS</t>
  </si>
  <si>
    <t>reliance</t>
  </si>
  <si>
    <t>RELINQUISH</t>
  </si>
  <si>
    <t>RELINQUISHED</t>
  </si>
  <si>
    <t>RELINQUISHES</t>
  </si>
  <si>
    <t>RELINQUISHING</t>
  </si>
  <si>
    <t>RELINQUISHMENT</t>
  </si>
  <si>
    <t>RELINQUISHMENTS</t>
  </si>
  <si>
    <t>RELUCTANCE</t>
  </si>
  <si>
    <t>RELUCTANT</t>
  </si>
  <si>
    <t>RENEGOTIATE</t>
  </si>
  <si>
    <t>RENEGOTIATED</t>
  </si>
  <si>
    <t>RENEGOTIATES</t>
  </si>
  <si>
    <t>RENEGOTIATING</t>
  </si>
  <si>
    <t>RENEGOTIATION</t>
  </si>
  <si>
    <t>RENEGOTIATIONS</t>
  </si>
  <si>
    <t>RENOUNCE</t>
  </si>
  <si>
    <t>RENOUNCED</t>
  </si>
  <si>
    <t>RENOUNCEMENT</t>
  </si>
  <si>
    <t>RENOUNCEMENTS</t>
  </si>
  <si>
    <t>RENOUNCES</t>
  </si>
  <si>
    <t>RENOUNCING</t>
  </si>
  <si>
    <t>REPARATION</t>
  </si>
  <si>
    <t>REPARATIONS</t>
  </si>
  <si>
    <t>replan</t>
  </si>
  <si>
    <t>REPOSSESSED</t>
  </si>
  <si>
    <t>REPOSSESSES</t>
  </si>
  <si>
    <t>REPOSSESSING</t>
  </si>
  <si>
    <t>REPOSSESSION</t>
  </si>
  <si>
    <t>REPOSSESSIONS</t>
  </si>
  <si>
    <t>REPUDIATE</t>
  </si>
  <si>
    <t>REPUDIATED</t>
  </si>
  <si>
    <t>REPUDIATES</t>
  </si>
  <si>
    <t>REPUDIATING</t>
  </si>
  <si>
    <t>REPUDIATION</t>
  </si>
  <si>
    <t>REPUDIATIONS</t>
  </si>
  <si>
    <t xml:space="preserve">Re-refining </t>
  </si>
  <si>
    <t>resale value</t>
  </si>
  <si>
    <t>research and development</t>
  </si>
  <si>
    <t>reserves</t>
  </si>
  <si>
    <t>Reserves: Possible</t>
  </si>
  <si>
    <t>Reserves: Probable</t>
  </si>
  <si>
    <t>Reserves: Proven</t>
  </si>
  <si>
    <t>reservoir</t>
  </si>
  <si>
    <t>reservoir characteristics</t>
  </si>
  <si>
    <t>Reservoir drive</t>
  </si>
  <si>
    <t>Reservoir engineering model</t>
  </si>
  <si>
    <t>residual slagging</t>
  </si>
  <si>
    <t>Residue Gas</t>
  </si>
  <si>
    <t>RESIGN</t>
  </si>
  <si>
    <t>RESIGNATION</t>
  </si>
  <si>
    <t>RESIGNATIONS</t>
  </si>
  <si>
    <t>RESIGNED</t>
  </si>
  <si>
    <t>RESIGNING</t>
  </si>
  <si>
    <t>RESIGNS</t>
  </si>
  <si>
    <t>RESOLVE</t>
  </si>
  <si>
    <t>RESTATE</t>
  </si>
  <si>
    <t>RESTATED</t>
  </si>
  <si>
    <t>RESTATEMENT</t>
  </si>
  <si>
    <t>RESTATEMENTS</t>
  </si>
  <si>
    <t>RESTATES</t>
  </si>
  <si>
    <t>RESTATING</t>
  </si>
  <si>
    <t>restrictive credit policy</t>
  </si>
  <si>
    <t>RESTRUCTURE</t>
  </si>
  <si>
    <t>RESTRUCTURED</t>
  </si>
  <si>
    <t>RESTRUCTURES</t>
  </si>
  <si>
    <t>RESTRUCTURING</t>
  </si>
  <si>
    <t>RESTRUCTURINGS</t>
  </si>
  <si>
    <t>retail price index</t>
  </si>
  <si>
    <t>retail sales</t>
  </si>
  <si>
    <t>retail sales index</t>
  </si>
  <si>
    <t>retained earnings</t>
  </si>
  <si>
    <t>RETALIATE</t>
  </si>
  <si>
    <t>RETALIATED</t>
  </si>
  <si>
    <t>RETALIATES</t>
  </si>
  <si>
    <t>RETALIATING</t>
  </si>
  <si>
    <t>RETALIATION</t>
  </si>
  <si>
    <t>RETALIATIONS</t>
  </si>
  <si>
    <t>RETALIATORY</t>
  </si>
  <si>
    <t>retired liabilities</t>
  </si>
  <si>
    <t xml:space="preserve">retirement of long-term debt </t>
  </si>
  <si>
    <t>RETRIBUTION</t>
  </si>
  <si>
    <t>RETRIBUTIONS</t>
  </si>
  <si>
    <t>return on assets</t>
  </si>
  <si>
    <t>return on equity</t>
  </si>
  <si>
    <t xml:space="preserve">return on tangible equity </t>
  </si>
  <si>
    <t>revenue</t>
  </si>
  <si>
    <t>REVOCATION</t>
  </si>
  <si>
    <t>REVOCATIONS</t>
  </si>
  <si>
    <t>REVOKE</t>
  </si>
  <si>
    <t>REVOKED</t>
  </si>
  <si>
    <t>REVOKES</t>
  </si>
  <si>
    <t>REVOKING</t>
  </si>
  <si>
    <t>REVOLUTIONIZE</t>
  </si>
  <si>
    <t>REVOLUTIONIZED</t>
  </si>
  <si>
    <t>REVOLUTIONIZES</t>
  </si>
  <si>
    <t>REVOLUTIONIZING</t>
  </si>
  <si>
    <t>REWARD</t>
  </si>
  <si>
    <t>REWARDED</t>
  </si>
  <si>
    <t>REWARDING</t>
  </si>
  <si>
    <t>REWARDS</t>
  </si>
  <si>
    <t>RIDICULE</t>
  </si>
  <si>
    <t>RIDICULED</t>
  </si>
  <si>
    <t>RIDICULES</t>
  </si>
  <si>
    <t>RIDICULING</t>
  </si>
  <si>
    <t>Rincon</t>
  </si>
  <si>
    <t>Rio Grande do Norte</t>
  </si>
  <si>
    <t>rising prices</t>
  </si>
  <si>
    <t>risk management</t>
  </si>
  <si>
    <t>RISKIER</t>
  </si>
  <si>
    <t>RISKIEST</t>
  </si>
  <si>
    <t>RISKY</t>
  </si>
  <si>
    <t>rlam</t>
  </si>
  <si>
    <t>roa</t>
  </si>
  <si>
    <t>robust currency</t>
  </si>
  <si>
    <t>roe</t>
  </si>
  <si>
    <t>romashkino</t>
  </si>
  <si>
    <t xml:space="preserve">rosneft </t>
  </si>
  <si>
    <t>Ross</t>
  </si>
  <si>
    <t>Rotary Drilling</t>
  </si>
  <si>
    <t>Rotary Table</t>
  </si>
  <si>
    <t>Round trip</t>
  </si>
  <si>
    <t>royal dutch shell</t>
  </si>
  <si>
    <t>rpi</t>
  </si>
  <si>
    <t>rumaila</t>
  </si>
  <si>
    <t>run up</t>
  </si>
  <si>
    <t>russia</t>
  </si>
  <si>
    <t>russkoye</t>
  </si>
  <si>
    <t>rust belt</t>
  </si>
  <si>
    <t>s&amp;l crisis</t>
  </si>
  <si>
    <t>s&amp;p/case-shiller home price index</t>
  </si>
  <si>
    <t>SABOTAGE</t>
  </si>
  <si>
    <t>sabriya</t>
  </si>
  <si>
    <t>SACRIFICE</t>
  </si>
  <si>
    <t>sacrifice ratio</t>
  </si>
  <si>
    <t>SACRIFICED</t>
  </si>
  <si>
    <t>SACRIFICES</t>
  </si>
  <si>
    <t>SACRIFICIAL</t>
  </si>
  <si>
    <t>SACRIFICING</t>
  </si>
  <si>
    <t>sacroc</t>
  </si>
  <si>
    <t>safaniya-khafji</t>
  </si>
  <si>
    <t>Saharan Blend</t>
  </si>
  <si>
    <t>said</t>
  </si>
  <si>
    <t>saint john refinery</t>
  </si>
  <si>
    <t>sakhalinislands</t>
  </si>
  <si>
    <t>salaries</t>
  </si>
  <si>
    <t>sale price</t>
  </si>
  <si>
    <t>sales</t>
  </si>
  <si>
    <t>sales growth</t>
  </si>
  <si>
    <t>salvage value</t>
  </si>
  <si>
    <t>same</t>
  </si>
  <si>
    <t>same-store sales</t>
  </si>
  <si>
    <t>samotlor</t>
  </si>
  <si>
    <t>Santa Barbara</t>
  </si>
  <si>
    <t xml:space="preserve">saras </t>
  </si>
  <si>
    <t>sarbanes-oxley act</t>
  </si>
  <si>
    <t>sarir</t>
  </si>
  <si>
    <t xml:space="preserve">sarroch </t>
  </si>
  <si>
    <t>sat</t>
  </si>
  <si>
    <t>Satellite Installation</t>
  </si>
  <si>
    <t>SATISFACTION</t>
  </si>
  <si>
    <t>SATISFACTORILY</t>
  </si>
  <si>
    <t>SATISFACTORY</t>
  </si>
  <si>
    <t>SATISFIED</t>
  </si>
  <si>
    <t>SATISFIES</t>
  </si>
  <si>
    <t>SATISFY</t>
  </si>
  <si>
    <t>SATISFYING</t>
  </si>
  <si>
    <t>saudi arabia</t>
  </si>
  <si>
    <t>Saudi Arabia Heavy</t>
  </si>
  <si>
    <t>Saudi Arabia Light</t>
  </si>
  <si>
    <t>Saudi Arabia Medium</t>
  </si>
  <si>
    <t>saudi aramco yanbu refinery</t>
  </si>
  <si>
    <t>savings rate</t>
  </si>
  <si>
    <t>saw</t>
  </si>
  <si>
    <t>Saxi Batuque Blend</t>
  </si>
  <si>
    <t>say</t>
  </si>
  <si>
    <t>saying</t>
  </si>
  <si>
    <t>SCANDALOUS</t>
  </si>
  <si>
    <t>SCANDALS</t>
  </si>
  <si>
    <t>Schiehallion Blend</t>
  </si>
  <si>
    <t>SCRUTINIZE</t>
  </si>
  <si>
    <t>SCRUTINIZED</t>
  </si>
  <si>
    <t>SCRUTINIZES</t>
  </si>
  <si>
    <t>SCRUTINIZING</t>
  </si>
  <si>
    <t>SCRUTINY</t>
  </si>
  <si>
    <t>seasonal credit rate</t>
  </si>
  <si>
    <t>seasonality</t>
  </si>
  <si>
    <t>seasonally adjusted</t>
  </si>
  <si>
    <t>Secondary Recovery</t>
  </si>
  <si>
    <t>SECRECY</t>
  </si>
  <si>
    <t>sector breakdown</t>
  </si>
  <si>
    <t>securities and exchange commission</t>
  </si>
  <si>
    <t>securities industry and financial markets association</t>
  </si>
  <si>
    <t>securitisation</t>
  </si>
  <si>
    <t>sedimentary basin</t>
  </si>
  <si>
    <t>sedimentary rock</t>
  </si>
  <si>
    <t>sediments</t>
  </si>
  <si>
    <t>see</t>
  </si>
  <si>
    <t>seen</t>
  </si>
  <si>
    <t>sees</t>
  </si>
  <si>
    <t>Seg 17 Blend</t>
  </si>
  <si>
    <t>seismic analysis</t>
  </si>
  <si>
    <t>Seismic surveys</t>
  </si>
  <si>
    <t>SEIZE</t>
  </si>
  <si>
    <t>SEIZED</t>
  </si>
  <si>
    <t>SEIZES</t>
  </si>
  <si>
    <t>SEIZING</t>
  </si>
  <si>
    <t>self-raising platform</t>
  </si>
  <si>
    <t>seller's market</t>
  </si>
  <si>
    <t>Senipah</t>
  </si>
  <si>
    <t>SENTENCED</t>
  </si>
  <si>
    <t>SENTENCING</t>
  </si>
  <si>
    <t>separation</t>
  </si>
  <si>
    <t>separator</t>
  </si>
  <si>
    <t>sept</t>
  </si>
  <si>
    <t>september</t>
  </si>
  <si>
    <t>sequential</t>
  </si>
  <si>
    <t>Seria Light</t>
  </si>
  <si>
    <t>Seria Light Export</t>
  </si>
  <si>
    <t>SERIOUS</t>
  </si>
  <si>
    <t>SERIOUSLY</t>
  </si>
  <si>
    <t>SERIOUSNESS</t>
  </si>
  <si>
    <t>serir</t>
  </si>
  <si>
    <t>SETBACK</t>
  </si>
  <si>
    <t>SETBACKS</t>
  </si>
  <si>
    <t>settlement risk</t>
  </si>
  <si>
    <t>SEVER</t>
  </si>
  <si>
    <t>SEVERE</t>
  </si>
  <si>
    <t>SEVERED</t>
  </si>
  <si>
    <t>SEVERELY</t>
  </si>
  <si>
    <t>SEVERITIES</t>
  </si>
  <si>
    <t>SEVERITY</t>
  </si>
  <si>
    <t>shah deniz</t>
  </si>
  <si>
    <t>Shah Deniz Condensate</t>
  </si>
  <si>
    <t>Shale shaker</t>
  </si>
  <si>
    <t>shall</t>
  </si>
  <si>
    <t>share</t>
  </si>
  <si>
    <t>shareholder equity</t>
  </si>
  <si>
    <t>shares</t>
  </si>
  <si>
    <t>SHARPLY</t>
  </si>
  <si>
    <t>shaybah</t>
  </si>
  <si>
    <t>shell</t>
  </si>
  <si>
    <t>shell-pemex</t>
  </si>
  <si>
    <t>Shengli</t>
  </si>
  <si>
    <t>SHOCKED</t>
  </si>
  <si>
    <t>SHORTAGE</t>
  </si>
  <si>
    <t>SHORTAGES</t>
  </si>
  <si>
    <t>SHORTFALL</t>
  </si>
  <si>
    <t>SHORTFALLS</t>
  </si>
  <si>
    <t>short-term borrowing</t>
  </si>
  <si>
    <t>should</t>
  </si>
  <si>
    <t>SHRINKAGE</t>
  </si>
  <si>
    <t>SHRINKAGES</t>
  </si>
  <si>
    <t>SHUT</t>
  </si>
  <si>
    <t>SHUTDOWN</t>
  </si>
  <si>
    <t>SHUTDOWNS</t>
  </si>
  <si>
    <t>SHUTS</t>
  </si>
  <si>
    <t>SHUTTING</t>
  </si>
  <si>
    <t>Siberian Light</t>
  </si>
  <si>
    <t>sic code</t>
  </si>
  <si>
    <t>Sidetrack Drilling</t>
  </si>
  <si>
    <t>Sidra</t>
  </si>
  <si>
    <t>silver</t>
  </si>
  <si>
    <t>silver standard</t>
  </si>
  <si>
    <t>silver thursday</t>
  </si>
  <si>
    <t>since</t>
  </si>
  <si>
    <t>Sincor</t>
  </si>
  <si>
    <t>singapore</t>
  </si>
  <si>
    <t>sinopec</t>
  </si>
  <si>
    <t>Siri</t>
  </si>
  <si>
    <t>Sirri</t>
  </si>
  <si>
    <t xml:space="preserve">sirte oil </t>
  </si>
  <si>
    <t>Sirtica</t>
  </si>
  <si>
    <t>sit</t>
  </si>
  <si>
    <t>sitting</t>
  </si>
  <si>
    <t xml:space="preserve">sk energy </t>
  </si>
  <si>
    <t>sk energy ulsan refinery</t>
  </si>
  <si>
    <t>skirt length theory</t>
  </si>
  <si>
    <t>SLANDER</t>
  </si>
  <si>
    <t>SLANDERED</t>
  </si>
  <si>
    <t>SLANDEROUS</t>
  </si>
  <si>
    <t>SLANDERS</t>
  </si>
  <si>
    <t>Sleipner Condensate</t>
  </si>
  <si>
    <t>SLIPPAGE</t>
  </si>
  <si>
    <t>SLIPPAGES</t>
  </si>
  <si>
    <t>slot</t>
  </si>
  <si>
    <t>SLOW</t>
  </si>
  <si>
    <t>slowdown</t>
  </si>
  <si>
    <t>SLOWDOWNS</t>
  </si>
  <si>
    <t>SLOWED</t>
  </si>
  <si>
    <t>SLOWER</t>
  </si>
  <si>
    <t>SLOWEST</t>
  </si>
  <si>
    <t>SLOWING</t>
  </si>
  <si>
    <t>SLOWLY</t>
  </si>
  <si>
    <t>SLOWNESS</t>
  </si>
  <si>
    <t>sludge</t>
  </si>
  <si>
    <t xml:space="preserve">Sludge </t>
  </si>
  <si>
    <t>Slug catcher</t>
  </si>
  <si>
    <t>SLUGGISH</t>
  </si>
  <si>
    <t>sluggish economy</t>
  </si>
  <si>
    <t>SLUGGISHLY</t>
  </si>
  <si>
    <t>SLUGGISHNESS</t>
  </si>
  <si>
    <t>slump</t>
  </si>
  <si>
    <t>smokestack industry</t>
  </si>
  <si>
    <t>SMOOTH</t>
  </si>
  <si>
    <t>SMOOTHING</t>
  </si>
  <si>
    <t>SMOOTHLY</t>
  </si>
  <si>
    <t>SMOOTHS</t>
  </si>
  <si>
    <t>Snohvit Condensate</t>
  </si>
  <si>
    <t>snorre</t>
  </si>
  <si>
    <t>so</t>
  </si>
  <si>
    <t>soaring markets</t>
  </si>
  <si>
    <t>soccer mom indicator</t>
  </si>
  <si>
    <t>socialism</t>
  </si>
  <si>
    <t>soft landing</t>
  </si>
  <si>
    <t>soft market</t>
  </si>
  <si>
    <t>soft moat</t>
  </si>
  <si>
    <t xml:space="preserve">s-oil </t>
  </si>
  <si>
    <t>s-oil ulsan refinery</t>
  </si>
  <si>
    <t>Sokol</t>
  </si>
  <si>
    <t>Solution Natural Gas</t>
  </si>
  <si>
    <t>SOLVENCIES</t>
  </si>
  <si>
    <t>solvency</t>
  </si>
  <si>
    <t xml:space="preserve">Solvent extraction </t>
  </si>
  <si>
    <t xml:space="preserve">Solvent refining </t>
  </si>
  <si>
    <t>SOLVES</t>
  </si>
  <si>
    <t>SOLVING</t>
  </si>
  <si>
    <t>some</t>
  </si>
  <si>
    <t>someone</t>
  </si>
  <si>
    <t>something</t>
  </si>
  <si>
    <t>Soroush</t>
  </si>
  <si>
    <t>Souedieh</t>
  </si>
  <si>
    <t>sounding well</t>
  </si>
  <si>
    <t>sour crude oil</t>
  </si>
  <si>
    <t>Sour Natural Gas</t>
  </si>
  <si>
    <t>South Arne</t>
  </si>
  <si>
    <t>south belridge oil</t>
  </si>
  <si>
    <t>south korea</t>
  </si>
  <si>
    <t>South Louisiana Sweet</t>
  </si>
  <si>
    <t>south-dolginskoye</t>
  </si>
  <si>
    <t>Southern Green Canyon</t>
  </si>
  <si>
    <t>south-hilchuy</t>
  </si>
  <si>
    <t>Soyo Blend</t>
  </si>
  <si>
    <t>special drawing rights</t>
  </si>
  <si>
    <t>specific gravity</t>
  </si>
  <si>
    <t xml:space="preserve">Specific gravity </t>
  </si>
  <si>
    <t>specific heat</t>
  </si>
  <si>
    <t>SPECTACULAR</t>
  </si>
  <si>
    <t>SPECTACULARLY</t>
  </si>
  <si>
    <t>spill</t>
  </si>
  <si>
    <t>sports illustrated swimsuit issue indicator</t>
  </si>
  <si>
    <t>spraberry trend</t>
  </si>
  <si>
    <t>Spud</t>
  </si>
  <si>
    <t>sro</t>
  </si>
  <si>
    <t>STABILITY</t>
  </si>
  <si>
    <t>STABILIZATION</t>
  </si>
  <si>
    <t>STABILIZATIONS</t>
  </si>
  <si>
    <t>stabilize</t>
  </si>
  <si>
    <t>STABILIZE</t>
  </si>
  <si>
    <t>STABILIZED</t>
  </si>
  <si>
    <t>STABILIZES</t>
  </si>
  <si>
    <t>STABILIZING</t>
  </si>
  <si>
    <t>STABLE</t>
  </si>
  <si>
    <t>stable market</t>
  </si>
  <si>
    <t>stagflation</t>
  </si>
  <si>
    <t>STAGGERING</t>
  </si>
  <si>
    <t>STAGNANT</t>
  </si>
  <si>
    <t>STAGNATE</t>
  </si>
  <si>
    <t>STAGNATED</t>
  </si>
  <si>
    <t>STAGNATES</t>
  </si>
  <si>
    <t>STAGNATING</t>
  </si>
  <si>
    <t>STAGNATION</t>
  </si>
  <si>
    <t>standard costs</t>
  </si>
  <si>
    <t xml:space="preserve">standard costs plus variances </t>
  </si>
  <si>
    <t>standard of living</t>
  </si>
  <si>
    <t>standard of living bubble</t>
  </si>
  <si>
    <t>Standard Reference Conditions</t>
  </si>
  <si>
    <t>STANDSTILL</t>
  </si>
  <si>
    <t>STANDSTILLS</t>
  </si>
  <si>
    <t>starbucks index</t>
  </si>
  <si>
    <t xml:space="preserve">statement of cash flows </t>
  </si>
  <si>
    <t>statfjord</t>
  </si>
  <si>
    <t>static mixer</t>
  </si>
  <si>
    <t>statutory liquidity ratio</t>
  </si>
  <si>
    <t>staying power</t>
  </si>
  <si>
    <t>Steam Generators</t>
  </si>
  <si>
    <t>Steam Separator</t>
  </si>
  <si>
    <t>Steam-Assisted Gravity Drainage Well</t>
  </si>
  <si>
    <t>stephen ross</t>
  </si>
  <si>
    <t>sterilization</t>
  </si>
  <si>
    <t>stimulus package</t>
  </si>
  <si>
    <t>stock exchange</t>
  </si>
  <si>
    <t>stock market</t>
  </si>
  <si>
    <t>stock market crash</t>
  </si>
  <si>
    <t>Stock Tank Vapours</t>
  </si>
  <si>
    <t>stock valuation</t>
  </si>
  <si>
    <t>stockholders' equity</t>
  </si>
  <si>
    <t>STOLEN</t>
  </si>
  <si>
    <t>STOPPAGE</t>
  </si>
  <si>
    <t>STOPPAGES</t>
  </si>
  <si>
    <t>STOPPED</t>
  </si>
  <si>
    <t>STOPPING</t>
  </si>
  <si>
    <t>STOPS</t>
  </si>
  <si>
    <t>store of value</t>
  </si>
  <si>
    <t>straight-line method</t>
  </si>
  <si>
    <t>straight-run</t>
  </si>
  <si>
    <t>STRAIN</t>
  </si>
  <si>
    <t>STRAINED</t>
  </si>
  <si>
    <t>STRAINING</t>
  </si>
  <si>
    <t>STRAINS</t>
  </si>
  <si>
    <t>stratified sampling</t>
  </si>
  <si>
    <t>STRENGTH</t>
  </si>
  <si>
    <t>STRENGTHEN</t>
  </si>
  <si>
    <t>STRENGTHENED</t>
  </si>
  <si>
    <t>STRENGTHENING</t>
  </si>
  <si>
    <t>STRENGTHENS</t>
  </si>
  <si>
    <t>STRENGTHS</t>
  </si>
  <si>
    <t>STRESS</t>
  </si>
  <si>
    <t>stress test</t>
  </si>
  <si>
    <t>STRESSED</t>
  </si>
  <si>
    <t>STRESSES</t>
  </si>
  <si>
    <t>STRESSFUL</t>
  </si>
  <si>
    <t>STRESSING</t>
  </si>
  <si>
    <t>STRINGENT</t>
  </si>
  <si>
    <t>STRONG</t>
  </si>
  <si>
    <t>strong dollar policy</t>
  </si>
  <si>
    <t>STRONGER</t>
  </si>
  <si>
    <t>STRONGEST</t>
  </si>
  <si>
    <t>structural inflation</t>
  </si>
  <si>
    <t>Su Tu Den</t>
  </si>
  <si>
    <t>SUBJECTED</t>
  </si>
  <si>
    <t>SUBJECTING</t>
  </si>
  <si>
    <t>SUBJECTION</t>
  </si>
  <si>
    <t>SUBPOENA</t>
  </si>
  <si>
    <t>SUBPOENAED</t>
  </si>
  <si>
    <t>SUBPOENAS</t>
  </si>
  <si>
    <t>subprime mortgage</t>
  </si>
  <si>
    <t>sub-prime mortgage</t>
  </si>
  <si>
    <t>Subsalt</t>
  </si>
  <si>
    <t>Subsea manifolds</t>
  </si>
  <si>
    <t>Sub-sea wellhead</t>
  </si>
  <si>
    <t>subsidy</t>
  </si>
  <si>
    <t>SUBSTANDARD</t>
  </si>
  <si>
    <t>Substructure</t>
  </si>
  <si>
    <t>SUCCEED</t>
  </si>
  <si>
    <t>SUCCEEDED</t>
  </si>
  <si>
    <t>SUCCEEDING</t>
  </si>
  <si>
    <t>SUCCEEDS</t>
  </si>
  <si>
    <t>SUCCESS</t>
  </si>
  <si>
    <t>SUCCESSES</t>
  </si>
  <si>
    <t>SUCCESSFUL</t>
  </si>
  <si>
    <t>SUCCESSFULLY</t>
  </si>
  <si>
    <t>such</t>
  </si>
  <si>
    <t>SUE</t>
  </si>
  <si>
    <t>SUED</t>
  </si>
  <si>
    <t>SUES</t>
  </si>
  <si>
    <t>Suez Blend</t>
  </si>
  <si>
    <t>SUFFER</t>
  </si>
  <si>
    <t>SUFFERED</t>
  </si>
  <si>
    <t>SUFFERING</t>
  </si>
  <si>
    <t>SUFFERS</t>
  </si>
  <si>
    <t>sugar loaf</t>
  </si>
  <si>
    <t>SUING</t>
  </si>
  <si>
    <t>sum of the years' digits</t>
  </si>
  <si>
    <t>SUMMONED</t>
  </si>
  <si>
    <t>SUMMONING</t>
  </si>
  <si>
    <t>SUMMONS</t>
  </si>
  <si>
    <t>SUMMONSES</t>
  </si>
  <si>
    <t>sunoco</t>
  </si>
  <si>
    <t>sunoco refinery</t>
  </si>
  <si>
    <t>SUPERIOR</t>
  </si>
  <si>
    <t>supplemental security income</t>
  </si>
  <si>
    <t>supplementary financing program</t>
  </si>
  <si>
    <t>supply</t>
  </si>
  <si>
    <t>supply and demand</t>
  </si>
  <si>
    <t>supply chain</t>
  </si>
  <si>
    <t>supply curve</t>
  </si>
  <si>
    <t>supply elasticity</t>
  </si>
  <si>
    <t>supply schedule</t>
  </si>
  <si>
    <t>supply-chain</t>
  </si>
  <si>
    <t>supply-side economics</t>
  </si>
  <si>
    <t>supranational</t>
  </si>
  <si>
    <t>surfactant</t>
  </si>
  <si>
    <t xml:space="preserve">surgutneftegas </t>
  </si>
  <si>
    <t>SURPASS</t>
  </si>
  <si>
    <t>SURPASSED</t>
  </si>
  <si>
    <t>SURPASSES</t>
  </si>
  <si>
    <t>SURPASSING</t>
  </si>
  <si>
    <t>SURRENDER</t>
  </si>
  <si>
    <t>SURRENDERED</t>
  </si>
  <si>
    <t>SURRENDERING</t>
  </si>
  <si>
    <t>SURRENDERS</t>
  </si>
  <si>
    <t>SUSCEPTIBILITY</t>
  </si>
  <si>
    <t>SUSCEPTIBLE</t>
  </si>
  <si>
    <t>SUSPECT</t>
  </si>
  <si>
    <t>SUSPECTED</t>
  </si>
  <si>
    <t>SUSPECTS</t>
  </si>
  <si>
    <t>SUSPEND</t>
  </si>
  <si>
    <t>SUSPENDED</t>
  </si>
  <si>
    <t>Suspended discovery</t>
  </si>
  <si>
    <t>SUSPENDING</t>
  </si>
  <si>
    <t>SUSPENDS</t>
  </si>
  <si>
    <t>SUSPENSION</t>
  </si>
  <si>
    <t>SUSPENSIONS</t>
  </si>
  <si>
    <t>SUSPICION</t>
  </si>
  <si>
    <t>SUSPICIONS</t>
  </si>
  <si>
    <t>SUSPICIOUS</t>
  </si>
  <si>
    <t>SUSPICIOUSLY</t>
  </si>
  <si>
    <t>sutorminskoye</t>
  </si>
  <si>
    <t>swap rate</t>
  </si>
  <si>
    <t>sweet crude oil</t>
  </si>
  <si>
    <t>sweet light crude</t>
  </si>
  <si>
    <t>Sweet Natural Gas</t>
  </si>
  <si>
    <t>syd</t>
  </si>
  <si>
    <t>Syncrude Sweet Blend</t>
  </si>
  <si>
    <t>Synthetic Crude Oil</t>
  </si>
  <si>
    <t>Syrian Light</t>
  </si>
  <si>
    <t>systemic risk</t>
  </si>
  <si>
    <t>tahe</t>
  </si>
  <si>
    <t>TAINT</t>
  </si>
  <si>
    <t>TAINTED</t>
  </si>
  <si>
    <t>TAINTING</t>
  </si>
  <si>
    <t>TAINTS</t>
  </si>
  <si>
    <t>taiwan</t>
  </si>
  <si>
    <t>take</t>
  </si>
  <si>
    <t>talakan</t>
  </si>
  <si>
    <t>TAMPERED</t>
  </si>
  <si>
    <t>tangible asset</t>
  </si>
  <si>
    <t>tangible equity</t>
  </si>
  <si>
    <t>Tapis Blend</t>
  </si>
  <si>
    <t>tar sands</t>
  </si>
  <si>
    <t>tax</t>
  </si>
  <si>
    <t>tax rebate</t>
  </si>
  <si>
    <t>taxes</t>
  </si>
  <si>
    <t>taylor rule</t>
  </si>
  <si>
    <t>tbn</t>
  </si>
  <si>
    <t>tech bubble</t>
  </si>
  <si>
    <t>tehran oil refinery</t>
  </si>
  <si>
    <t>Tempa Rossa</t>
  </si>
  <si>
    <t>tengiz</t>
  </si>
  <si>
    <t>TENSE</t>
  </si>
  <si>
    <t>Tension Leg Platform</t>
  </si>
  <si>
    <t>tequila effect</t>
  </si>
  <si>
    <t>term</t>
  </si>
  <si>
    <t>term asset-backed securities loan facility</t>
  </si>
  <si>
    <t>term auction facility</t>
  </si>
  <si>
    <t>term securities lending facility</t>
  </si>
  <si>
    <t>Terminal</t>
  </si>
  <si>
    <t>TERMINATE</t>
  </si>
  <si>
    <t>TERMINATED</t>
  </si>
  <si>
    <t>TERMINATES</t>
  </si>
  <si>
    <t>TERMINATING</t>
  </si>
  <si>
    <t>TERMINATION</t>
  </si>
  <si>
    <t>TERMINATIONS</t>
  </si>
  <si>
    <t>terra nova</t>
  </si>
  <si>
    <t>Tertiary Recovery</t>
  </si>
  <si>
    <t>TESTIFY</t>
  </si>
  <si>
    <t>TESTIFYING</t>
  </si>
  <si>
    <t>Testing</t>
  </si>
  <si>
    <t>tevlinsko-russkinskoye</t>
  </si>
  <si>
    <t>texaco</t>
  </si>
  <si>
    <t>Thamama Condensate</t>
  </si>
  <si>
    <t>than</t>
  </si>
  <si>
    <t>that</t>
  </si>
  <si>
    <t>the</t>
  </si>
  <si>
    <t>their</t>
  </si>
  <si>
    <t>then</t>
  </si>
  <si>
    <t>there</t>
  </si>
  <si>
    <t>Thermal Recovery</t>
  </si>
  <si>
    <t>these</t>
  </si>
  <si>
    <t>they</t>
  </si>
  <si>
    <t>this</t>
  </si>
  <si>
    <t>thomson financial</t>
  </si>
  <si>
    <t>those</t>
  </si>
  <si>
    <t>THREAT</t>
  </si>
  <si>
    <t>THREATEN</t>
  </si>
  <si>
    <t>THREATENED</t>
  </si>
  <si>
    <t>THREATENING</t>
  </si>
  <si>
    <t>THREATENS</t>
  </si>
  <si>
    <t>THREATS</t>
  </si>
  <si>
    <t>Three-dimensional Seismic</t>
  </si>
  <si>
    <t>through</t>
  </si>
  <si>
    <t>thunder horse</t>
  </si>
  <si>
    <t>Tia Juana Heavy</t>
  </si>
  <si>
    <t>Tia Juana Light</t>
  </si>
  <si>
    <t>tiger economy</t>
  </si>
  <si>
    <t>Tight Hole</t>
  </si>
  <si>
    <t>tight monetary policy</t>
  </si>
  <si>
    <t>tight money</t>
  </si>
  <si>
    <t>TIGHTENING</t>
  </si>
  <si>
    <t>time spreads</t>
  </si>
  <si>
    <t>time value of money</t>
  </si>
  <si>
    <t xml:space="preserve">tnk-bp </t>
  </si>
  <si>
    <t>to</t>
  </si>
  <si>
    <t>tokyo international financial futures exchange</t>
  </si>
  <si>
    <t>TOLERATE</t>
  </si>
  <si>
    <t>TOLERATED</t>
  </si>
  <si>
    <t>TOLERATES</t>
  </si>
  <si>
    <t>TOLERATING</t>
  </si>
  <si>
    <t>TOLERATION</t>
  </si>
  <si>
    <t>too</t>
  </si>
  <si>
    <t>took</t>
  </si>
  <si>
    <t>Toolhand</t>
  </si>
  <si>
    <t>toot</t>
  </si>
  <si>
    <t>Top drive</t>
  </si>
  <si>
    <t>topped crude oil</t>
  </si>
  <si>
    <t>topple rate</t>
  </si>
  <si>
    <t>Topsides</t>
  </si>
  <si>
    <t>TORTUOUS</t>
  </si>
  <si>
    <t>TORTUOUSLY</t>
  </si>
  <si>
    <t>total</t>
  </si>
  <si>
    <t>total non-farm payrolls</t>
  </si>
  <si>
    <t>Total Petroleum Stocks</t>
  </si>
  <si>
    <t xml:space="preserve">total refineryantwerp </t>
  </si>
  <si>
    <t>trade balance</t>
  </si>
  <si>
    <t>trade barrier</t>
  </si>
  <si>
    <t>trade deficit</t>
  </si>
  <si>
    <t>trade surplus</t>
  </si>
  <si>
    <t>traditional economy</t>
  </si>
  <si>
    <t>TRAGEDIES</t>
  </si>
  <si>
    <t>TRAGEDY</t>
  </si>
  <si>
    <t>TRAGIC</t>
  </si>
  <si>
    <t>TRAGICALLY</t>
  </si>
  <si>
    <t>TRANSPARENCY</t>
  </si>
  <si>
    <t>TRAUMATIC</t>
  </si>
  <si>
    <t>treasury budget</t>
  </si>
  <si>
    <t>treasury stock</t>
  </si>
  <si>
    <t>TREMENDOUS</t>
  </si>
  <si>
    <t>TREMENDOUSLY</t>
  </si>
  <si>
    <t>trickle-down theory</t>
  </si>
  <si>
    <t>Tripping in</t>
  </si>
  <si>
    <t>Tripping out</t>
  </si>
  <si>
    <t>Triton</t>
  </si>
  <si>
    <t>Troll Blend</t>
  </si>
  <si>
    <t>trollvest</t>
  </si>
  <si>
    <t>TROUBLE</t>
  </si>
  <si>
    <t>TROUBLED</t>
  </si>
  <si>
    <t>troubled assets relief program</t>
  </si>
  <si>
    <t>TROUBLES</t>
  </si>
  <si>
    <t>Tubing</t>
  </si>
  <si>
    <t>tupi</t>
  </si>
  <si>
    <t>TURBULENCE</t>
  </si>
  <si>
    <t>Turkmen Blend</t>
  </si>
  <si>
    <t>TURMOIL</t>
  </si>
  <si>
    <t>tuymazinskoe]</t>
  </si>
  <si>
    <t>typical collection pattern</t>
  </si>
  <si>
    <t>typical payment pattern</t>
  </si>
  <si>
    <t>uk</t>
  </si>
  <si>
    <t>Ukpokiti</t>
  </si>
  <si>
    <t>ukraine</t>
  </si>
  <si>
    <t>Umm Shaif</t>
  </si>
  <si>
    <t>UNABLE</t>
  </si>
  <si>
    <t>UNACCEPTABLE</t>
  </si>
  <si>
    <t>UNACCEPTABLY</t>
  </si>
  <si>
    <t>UNACCOUNTED</t>
  </si>
  <si>
    <t>UNANNOUNCED</t>
  </si>
  <si>
    <t>UNANTICIPATED</t>
  </si>
  <si>
    <t>UNAPPROVED</t>
  </si>
  <si>
    <t>UNATTRACTIVE</t>
  </si>
  <si>
    <t>UNAUTHORIZED</t>
  </si>
  <si>
    <t>UNAVAILABILITY</t>
  </si>
  <si>
    <t>UNAVAILABLE</t>
  </si>
  <si>
    <t>UNAVOIDABLE</t>
  </si>
  <si>
    <t>UNAVOIDABLY</t>
  </si>
  <si>
    <t>UNAWARE</t>
  </si>
  <si>
    <t>unbalanced growth</t>
  </si>
  <si>
    <t>UNCOLLECTABLE</t>
  </si>
  <si>
    <t>UNCOLLECTED</t>
  </si>
  <si>
    <t>UNCOLLECTIBILITY</t>
  </si>
  <si>
    <t>UNCOLLECTIBLE</t>
  </si>
  <si>
    <t>UNCOLLECTIBLES</t>
  </si>
  <si>
    <t>UNCOMPETITIVE</t>
  </si>
  <si>
    <t>UNCOMPLETED</t>
  </si>
  <si>
    <t>UNCONSCIONABLE</t>
  </si>
  <si>
    <t>UNCONSCIONABLY</t>
  </si>
  <si>
    <t>UNCONTROLLABLE</t>
  </si>
  <si>
    <t>UNCONTROLLABLY</t>
  </si>
  <si>
    <t>UNCONTROLLED</t>
  </si>
  <si>
    <t>Unconventional Natural Gas</t>
  </si>
  <si>
    <t>UNCORRECTED</t>
  </si>
  <si>
    <t>UNCOVER</t>
  </si>
  <si>
    <t>UNCOVERED</t>
  </si>
  <si>
    <t>UNCOVERING</t>
  </si>
  <si>
    <t>UNCOVERS</t>
  </si>
  <si>
    <t>UNDELIVERABLE</t>
  </si>
  <si>
    <t>UNDELIVERED</t>
  </si>
  <si>
    <t>under</t>
  </si>
  <si>
    <t>UNDERCAPITALIZED</t>
  </si>
  <si>
    <t>UNDERCUT</t>
  </si>
  <si>
    <t>UNDERCUTS</t>
  </si>
  <si>
    <t>UNDERCUTTING</t>
  </si>
  <si>
    <t>underemployment</t>
  </si>
  <si>
    <t>UNDERESTIMATE</t>
  </si>
  <si>
    <t>UNDERESTIMATED</t>
  </si>
  <si>
    <t>UNDERESTIMATES</t>
  </si>
  <si>
    <t>UNDERESTIMATING</t>
  </si>
  <si>
    <t>UNDERESTIMATION</t>
  </si>
  <si>
    <t>UNDERFUNDED</t>
  </si>
  <si>
    <t>UNDERINSURED</t>
  </si>
  <si>
    <t>UNDERMINE</t>
  </si>
  <si>
    <t>UNDERMINED</t>
  </si>
  <si>
    <t>UNDERMINES</t>
  </si>
  <si>
    <t>UNDERMINING</t>
  </si>
  <si>
    <t>UNDERPAID</t>
  </si>
  <si>
    <t>UNDERPAYMENT</t>
  </si>
  <si>
    <t>UNDERPAYMENTS</t>
  </si>
  <si>
    <t>UNDERPAYS</t>
  </si>
  <si>
    <t>UNDERPERFORM</t>
  </si>
  <si>
    <t>UNDERPERFORMANCE</t>
  </si>
  <si>
    <t>UNDERPERFORMED</t>
  </si>
  <si>
    <t>UNDERPERFORMING</t>
  </si>
  <si>
    <t>UNDERPRODUCED</t>
  </si>
  <si>
    <t>UNDERPRODUCTION</t>
  </si>
  <si>
    <t>UNDERREPORTING</t>
  </si>
  <si>
    <t>UNDERSTATE</t>
  </si>
  <si>
    <t>UNDERSTATED</t>
  </si>
  <si>
    <t>UNDERSTATEMENT</t>
  </si>
  <si>
    <t>UNDERSTATEMENTS</t>
  </si>
  <si>
    <t>UNDERSTATES</t>
  </si>
  <si>
    <t>UNDERSTATING</t>
  </si>
  <si>
    <t>UNDERUTILIZATION</t>
  </si>
  <si>
    <t>UNDERUTILIZED</t>
  </si>
  <si>
    <t>undervalued</t>
  </si>
  <si>
    <t>UNDESIRABLE</t>
  </si>
  <si>
    <t>UNDESIRED</t>
  </si>
  <si>
    <t>UNDETECTED</t>
  </si>
  <si>
    <t>UNDETERMINED</t>
  </si>
  <si>
    <t>UNDISCLOSED</t>
  </si>
  <si>
    <t>undiversifiable risk</t>
  </si>
  <si>
    <t>UNDOCUMENTED</t>
  </si>
  <si>
    <t>UNDUE</t>
  </si>
  <si>
    <t>UNDULY</t>
  </si>
  <si>
    <t>UNECONOMIC</t>
  </si>
  <si>
    <t>UNECONOMICAL</t>
  </si>
  <si>
    <t>UNECONOMICALLY</t>
  </si>
  <si>
    <t>unemployed</t>
  </si>
  <si>
    <t>unemployment</t>
  </si>
  <si>
    <t>unemployment rate</t>
  </si>
  <si>
    <t>UNETHICAL</t>
  </si>
  <si>
    <t>UNETHICALLY</t>
  </si>
  <si>
    <t>UNEXCUSED</t>
  </si>
  <si>
    <t>UNEXPECTED</t>
  </si>
  <si>
    <t>UNEXPECTEDLY</t>
  </si>
  <si>
    <t>UNFAIR</t>
  </si>
  <si>
    <t>UNFAIRLY</t>
  </si>
  <si>
    <t>UNFAVORABLE</t>
  </si>
  <si>
    <t>UNFAVORABLY</t>
  </si>
  <si>
    <t>UNFAVOURABLE</t>
  </si>
  <si>
    <t>UNFEASIBLE</t>
  </si>
  <si>
    <t>UNFIT</t>
  </si>
  <si>
    <t>UNFITNESS</t>
  </si>
  <si>
    <t>UNFORESEEABLE</t>
  </si>
  <si>
    <t>UNFORESEEN</t>
  </si>
  <si>
    <t>UNFORSEEN</t>
  </si>
  <si>
    <t>UNFORTUNATE</t>
  </si>
  <si>
    <t>UNFORTUNATELY</t>
  </si>
  <si>
    <t>UNFOUNDED</t>
  </si>
  <si>
    <t>UNFRIENDLY</t>
  </si>
  <si>
    <t>UNFULFILLED</t>
  </si>
  <si>
    <t>UNFUNDED</t>
  </si>
  <si>
    <t>UNINSURED</t>
  </si>
  <si>
    <t>UNINTENDED</t>
  </si>
  <si>
    <t>UNINTENTIONAL</t>
  </si>
  <si>
    <t>UNINTENTIONALLY</t>
  </si>
  <si>
    <t>united kingdom</t>
  </si>
  <si>
    <t>united states</t>
  </si>
  <si>
    <t>university of michigan survey of consumers</t>
  </si>
  <si>
    <t>UNJUST</t>
  </si>
  <si>
    <t>UNJUSTIFIABLE</t>
  </si>
  <si>
    <t>UNJUSTIFIABLY</t>
  </si>
  <si>
    <t>UNJUSTIFIED</t>
  </si>
  <si>
    <t>UNJUSTLY</t>
  </si>
  <si>
    <t>UNKNOWING</t>
  </si>
  <si>
    <t>UNKNOWINGLY</t>
  </si>
  <si>
    <t>UNLAWFUL</t>
  </si>
  <si>
    <t>UNLAWFULLY</t>
  </si>
  <si>
    <t>unless</t>
  </si>
  <si>
    <t>UNLICENSED</t>
  </si>
  <si>
    <t>UNLIQUIDATED</t>
  </si>
  <si>
    <t>UNMARKETABLE</t>
  </si>
  <si>
    <t>UNMATCHED</t>
  </si>
  <si>
    <t>UNMERCHANTABLE</t>
  </si>
  <si>
    <t>UNNECESSARILY</t>
  </si>
  <si>
    <t>UNNECESSARY</t>
  </si>
  <si>
    <t>UNNEEDED</t>
  </si>
  <si>
    <t>UNOBTAINABLE</t>
  </si>
  <si>
    <t>UNOCCUPIED</t>
  </si>
  <si>
    <t>UNPAID</t>
  </si>
  <si>
    <t>UNPARALLELED</t>
  </si>
  <si>
    <t>UNPERFORMED</t>
  </si>
  <si>
    <t>UNPLANNED</t>
  </si>
  <si>
    <t>UNPOPULAR</t>
  </si>
  <si>
    <t>UNPREDICTABILITY</t>
  </si>
  <si>
    <t>UNPREDICTABLE</t>
  </si>
  <si>
    <t>UNPREDICTABLY</t>
  </si>
  <si>
    <t>UNPREDICTED</t>
  </si>
  <si>
    <t>UNPRODUCTIVE</t>
  </si>
  <si>
    <t>UNPROFITABILITY</t>
  </si>
  <si>
    <t>UNPROFITABLE</t>
  </si>
  <si>
    <t>UNQUALIFIED</t>
  </si>
  <si>
    <t>UNREALISTIC</t>
  </si>
  <si>
    <t>UNREASONABLE</t>
  </si>
  <si>
    <t>UNREASONABLENESS</t>
  </si>
  <si>
    <t>UNREASONABLY</t>
  </si>
  <si>
    <t>UNRECOVERABLE</t>
  </si>
  <si>
    <t>UNRECOVERED</t>
  </si>
  <si>
    <t>UNREIMBURSED</t>
  </si>
  <si>
    <t>UNRELIABLE</t>
  </si>
  <si>
    <t>UNREMEDIED</t>
  </si>
  <si>
    <t>UNREPORTED</t>
  </si>
  <si>
    <t>UNRESOLVED</t>
  </si>
  <si>
    <t>UNREST</t>
  </si>
  <si>
    <t>UNSAFE</t>
  </si>
  <si>
    <t>UNSALABLE</t>
  </si>
  <si>
    <t>UNSALEABLE</t>
  </si>
  <si>
    <t>UNSATISFACTORY</t>
  </si>
  <si>
    <t>UNSATISFIED</t>
  </si>
  <si>
    <t>UNSAVORY</t>
  </si>
  <si>
    <t>UNSCHEDULED</t>
  </si>
  <si>
    <t>UNSOLD</t>
  </si>
  <si>
    <t>unsold inventory index</t>
  </si>
  <si>
    <t>UNSOUND</t>
  </si>
  <si>
    <t>UNSTABLE</t>
  </si>
  <si>
    <t>UNSUBSTANTIATED</t>
  </si>
  <si>
    <t>UNSUCCESSFUL</t>
  </si>
  <si>
    <t>UNSUCCESSFULLY</t>
  </si>
  <si>
    <t>UNSUITABILITY</t>
  </si>
  <si>
    <t>UNSUITABLE</t>
  </si>
  <si>
    <t>UNSUITABLY</t>
  </si>
  <si>
    <t>UNSUITED</t>
  </si>
  <si>
    <t>UNSURE</t>
  </si>
  <si>
    <t>UNSURPASSED</t>
  </si>
  <si>
    <t>UNSUSPECTED</t>
  </si>
  <si>
    <t>UNSUSPECTING</t>
  </si>
  <si>
    <t>UNSUSTAINABLE</t>
  </si>
  <si>
    <t>UNTENABLE</t>
  </si>
  <si>
    <t>until</t>
  </si>
  <si>
    <t>UNTIMELY</t>
  </si>
  <si>
    <t>UNTRUTH</t>
  </si>
  <si>
    <t>UNTRUTHFUL</t>
  </si>
  <si>
    <t>UNTRUTHFULLY</t>
  </si>
  <si>
    <t>UNTRUTHFULNESS</t>
  </si>
  <si>
    <t>UNTRUTHS</t>
  </si>
  <si>
    <t>UNUSABLE</t>
  </si>
  <si>
    <t>UNWANTED</t>
  </si>
  <si>
    <t>UNWARRANTED</t>
  </si>
  <si>
    <t>UNWELCOME</t>
  </si>
  <si>
    <t>UNWILLING</t>
  </si>
  <si>
    <t>UNWILLINGNESS</t>
  </si>
  <si>
    <t>upon</t>
  </si>
  <si>
    <t>Upper Zakum</t>
  </si>
  <si>
    <t>UPSET</t>
  </si>
  <si>
    <t>Upstream</t>
  </si>
  <si>
    <t>UPTURN</t>
  </si>
  <si>
    <t>UPTURNS</t>
  </si>
  <si>
    <t>Urals</t>
  </si>
  <si>
    <t>Urals Blend</t>
  </si>
  <si>
    <t>urengoygroup</t>
  </si>
  <si>
    <t>URGENCY</t>
  </si>
  <si>
    <t>URGENT</t>
  </si>
  <si>
    <t>Urucu</t>
  </si>
  <si>
    <t>us</t>
  </si>
  <si>
    <t>usa</t>
  </si>
  <si>
    <t>useful life</t>
  </si>
  <si>
    <t>ust-balykskoe</t>
  </si>
  <si>
    <t>usual</t>
  </si>
  <si>
    <t>USURIOUS</t>
  </si>
  <si>
    <t>USURP</t>
  </si>
  <si>
    <t>USURPED</t>
  </si>
  <si>
    <t>USURPING</t>
  </si>
  <si>
    <t>USURPS</t>
  </si>
  <si>
    <t>USURY</t>
  </si>
  <si>
    <t>utilities sector</t>
  </si>
  <si>
    <t>utility assets</t>
  </si>
  <si>
    <t>uzen</t>
  </si>
  <si>
    <t xml:space="preserve">valero </t>
  </si>
  <si>
    <t>valero refinery</t>
  </si>
  <si>
    <t>VALUABLE</t>
  </si>
  <si>
    <t>value</t>
  </si>
  <si>
    <t>value-at-risk</t>
  </si>
  <si>
    <t>VANDALISM</t>
  </si>
  <si>
    <t>vankor</t>
  </si>
  <si>
    <t>var</t>
  </si>
  <si>
    <t>Varg</t>
  </si>
  <si>
    <t>variable cost</t>
  </si>
  <si>
    <t>variable costs</t>
  </si>
  <si>
    <t>variable interest rate</t>
  </si>
  <si>
    <t>variable pricing</t>
  </si>
  <si>
    <t>variable rate</t>
  </si>
  <si>
    <t>variance</t>
  </si>
  <si>
    <t>various</t>
  </si>
  <si>
    <t>Vasconia</t>
  </si>
  <si>
    <t>vatyeganskoye</t>
  </si>
  <si>
    <t>VERDICT</t>
  </si>
  <si>
    <t>VERDICTS</t>
  </si>
  <si>
    <t>verhne-chonskoye</t>
  </si>
  <si>
    <t>VERSATILE</t>
  </si>
  <si>
    <t>VERSATILITY</t>
  </si>
  <si>
    <t>vertical equity</t>
  </si>
  <si>
    <t>vertical integration</t>
  </si>
  <si>
    <t>vertical market</t>
  </si>
  <si>
    <t>vertical spread</t>
  </si>
  <si>
    <t>very</t>
  </si>
  <si>
    <t>VETOED</t>
  </si>
  <si>
    <t>VIBRANCY</t>
  </si>
  <si>
    <t>VIBRANT</t>
  </si>
  <si>
    <t>VICTIMS</t>
  </si>
  <si>
    <t>VIOLATE</t>
  </si>
  <si>
    <t>VIOLATED</t>
  </si>
  <si>
    <t>VIOLATES</t>
  </si>
  <si>
    <t>VIOLATING</t>
  </si>
  <si>
    <t>VIOLATION</t>
  </si>
  <si>
    <t>VIOLATIONS</t>
  </si>
  <si>
    <t>VIOLATIVE</t>
  </si>
  <si>
    <t>VIOLATOR</t>
  </si>
  <si>
    <t>VIOLATORS</t>
  </si>
  <si>
    <t>VIOLENCE</t>
  </si>
  <si>
    <t>VIOLENT</t>
  </si>
  <si>
    <t>VIOLENTLY</t>
  </si>
  <si>
    <t xml:space="preserve">Viscosity </t>
  </si>
  <si>
    <t xml:space="preserve">Viscosity index </t>
  </si>
  <si>
    <t xml:space="preserve">Viscosity modifier </t>
  </si>
  <si>
    <t>VITIATE</t>
  </si>
  <si>
    <t>VITIATED</t>
  </si>
  <si>
    <t>VITIATES</t>
  </si>
  <si>
    <t>VITIATING</t>
  </si>
  <si>
    <t>VITIATION</t>
  </si>
  <si>
    <t xml:space="preserve">Vityaz </t>
  </si>
  <si>
    <t>VOIDED</t>
  </si>
  <si>
    <t>VOIDING</t>
  </si>
  <si>
    <t>vol</t>
  </si>
  <si>
    <t>VOLATILE</t>
  </si>
  <si>
    <t>VOLATILITY</t>
  </si>
  <si>
    <t>volatility skew</t>
  </si>
  <si>
    <t>volatility smile</t>
  </si>
  <si>
    <t>volatility term structure</t>
  </si>
  <si>
    <t>volatility trading</t>
  </si>
  <si>
    <t>Volve</t>
  </si>
  <si>
    <t>VULNERABILITIES</t>
  </si>
  <si>
    <t>VULNERABILITY</t>
  </si>
  <si>
    <t>VULNERABLE</t>
  </si>
  <si>
    <t>VULNERABLY</t>
  </si>
  <si>
    <t>Wafra</t>
  </si>
  <si>
    <t>wage price spiral</t>
  </si>
  <si>
    <t>wall of worry</t>
  </si>
  <si>
    <t>war babies</t>
  </si>
  <si>
    <t>WARN</t>
  </si>
  <si>
    <t>WARNED</t>
  </si>
  <si>
    <t>WARNING</t>
  </si>
  <si>
    <t>WARNINGS</t>
  </si>
  <si>
    <t>WARNS</t>
  </si>
  <si>
    <t>was</t>
  </si>
  <si>
    <t>Waste Water Injection Facility</t>
  </si>
  <si>
    <t>WASTED</t>
  </si>
  <si>
    <t>WASTEFUL</t>
  </si>
  <si>
    <t>WASTING</t>
  </si>
  <si>
    <t>Water Injection</t>
  </si>
  <si>
    <t>Water Treatment Facility</t>
  </si>
  <si>
    <t>we</t>
  </si>
  <si>
    <t>WEAK</t>
  </si>
  <si>
    <t>weak dollar policy</t>
  </si>
  <si>
    <t>WEAKEN</t>
  </si>
  <si>
    <t>WEAKENED</t>
  </si>
  <si>
    <t>WEAKENING</t>
  </si>
  <si>
    <t>WEAKENS</t>
  </si>
  <si>
    <t>WEAKER</t>
  </si>
  <si>
    <t>WEAKEST</t>
  </si>
  <si>
    <t>WEAKLY</t>
  </si>
  <si>
    <t>WEAKNESS</t>
  </si>
  <si>
    <t>WEAKNESSES</t>
  </si>
  <si>
    <t>well</t>
  </si>
  <si>
    <t>Well completion</t>
  </si>
  <si>
    <t>Well logging</t>
  </si>
  <si>
    <t>Well Nomenclature</t>
  </si>
  <si>
    <t>wellhead</t>
  </si>
  <si>
    <t>well-logging</t>
  </si>
  <si>
    <t>wells</t>
  </si>
  <si>
    <t>went</t>
  </si>
  <si>
    <t>were</t>
  </si>
  <si>
    <t>West Seno</t>
  </si>
  <si>
    <t>West Texas Intermediate</t>
  </si>
  <si>
    <t>West Texas Sour</t>
  </si>
  <si>
    <t>Western Canada Select</t>
  </si>
  <si>
    <t>west-matveevskoye</t>
  </si>
  <si>
    <t>westqurna</t>
  </si>
  <si>
    <t>Wet Natural Gas</t>
  </si>
  <si>
    <t>what</t>
  </si>
  <si>
    <t>when</t>
  </si>
  <si>
    <t>where</t>
  </si>
  <si>
    <t>whether</t>
  </si>
  <si>
    <t>which</t>
  </si>
  <si>
    <t>White Oil</t>
  </si>
  <si>
    <t>white product</t>
  </si>
  <si>
    <t>White products</t>
  </si>
  <si>
    <t>White Rose</t>
  </si>
  <si>
    <t>whiting refinery</t>
  </si>
  <si>
    <t>who</t>
  </si>
  <si>
    <t>whole</t>
  </si>
  <si>
    <t>wholesale inventories</t>
  </si>
  <si>
    <t>wholesale power market</t>
  </si>
  <si>
    <t>wholesale power supply</t>
  </si>
  <si>
    <t>wholesale price</t>
  </si>
  <si>
    <t>whom</t>
  </si>
  <si>
    <t>whose</t>
  </si>
  <si>
    <t>why</t>
  </si>
  <si>
    <t>Widuri</t>
  </si>
  <si>
    <t>Wildcat</t>
  </si>
  <si>
    <t>will</t>
  </si>
  <si>
    <t>WILLFULLY</t>
  </si>
  <si>
    <t>Williams Sugarland Blend</t>
  </si>
  <si>
    <t>wilmington oil</t>
  </si>
  <si>
    <t>WIN</t>
  </si>
  <si>
    <t>WINNER</t>
  </si>
  <si>
    <t>WINNERS</t>
  </si>
  <si>
    <t>WINNING</t>
  </si>
  <si>
    <t>with</t>
  </si>
  <si>
    <t>within</t>
  </si>
  <si>
    <t>without</t>
  </si>
  <si>
    <t>wont</t>
  </si>
  <si>
    <t>work force</t>
  </si>
  <si>
    <t>working capital</t>
  </si>
  <si>
    <t>Workover</t>
  </si>
  <si>
    <t>world bank</t>
  </si>
  <si>
    <t>world trade organization</t>
  </si>
  <si>
    <t>Worm</t>
  </si>
  <si>
    <t>WORRIES</t>
  </si>
  <si>
    <t>WORRY</t>
  </si>
  <si>
    <t>WORRYING</t>
  </si>
  <si>
    <t>WORSE</t>
  </si>
  <si>
    <t>WORSEN</t>
  </si>
  <si>
    <t>WORSENED</t>
  </si>
  <si>
    <t>WORSENING</t>
  </si>
  <si>
    <t>WORSENS</t>
  </si>
  <si>
    <t>WORST</t>
  </si>
  <si>
    <t>WORTHLESS</t>
  </si>
  <si>
    <t>WORTHY</t>
  </si>
  <si>
    <t>would</t>
  </si>
  <si>
    <t>WRITEDOWN</t>
  </si>
  <si>
    <t>WRITEDOWNS</t>
  </si>
  <si>
    <t>WRITEOFF</t>
  </si>
  <si>
    <t>WRITEOFFS</t>
  </si>
  <si>
    <t>WRONG</t>
  </si>
  <si>
    <t>WRONGDOING</t>
  </si>
  <si>
    <t>WRONGDOINGS</t>
  </si>
  <si>
    <t>WRONGFUL</t>
  </si>
  <si>
    <t>WRONGFULLY</t>
  </si>
  <si>
    <t>WRONGLY</t>
  </si>
  <si>
    <t>wti</t>
  </si>
  <si>
    <t>wto</t>
  </si>
  <si>
    <t>Wytch Farm</t>
  </si>
  <si>
    <t>Xikomba</t>
  </si>
  <si>
    <t>xom</t>
  </si>
  <si>
    <t>yates oil</t>
  </si>
  <si>
    <t>year-over-year</t>
  </si>
  <si>
    <t>yeosu refinery</t>
  </si>
  <si>
    <t>yes</t>
  </si>
  <si>
    <t>yet</t>
  </si>
  <si>
    <t>yibal</t>
  </si>
  <si>
    <t>yield curve</t>
  </si>
  <si>
    <t>yield management</t>
  </si>
  <si>
    <t>Yoho Crude</t>
  </si>
  <si>
    <t>you</t>
  </si>
  <si>
    <t>your</t>
  </si>
  <si>
    <t>yourself</t>
  </si>
  <si>
    <t>yupcap</t>
  </si>
  <si>
    <t>zafiro</t>
  </si>
  <si>
    <t>zakum</t>
  </si>
  <si>
    <t>Zarzaitine</t>
  </si>
  <si>
    <t>zawia refinery</t>
  </si>
  <si>
    <t>zeltenoil</t>
  </si>
  <si>
    <t>zero interest rate policy</t>
  </si>
  <si>
    <t>zero-cost option</t>
  </si>
  <si>
    <t>zero-sum game</t>
  </si>
  <si>
    <t>zhanazhol</t>
  </si>
  <si>
    <t>zhenhai refinery</t>
  </si>
  <si>
    <t>zhetybay</t>
  </si>
  <si>
    <t>z-score</t>
  </si>
  <si>
    <t>Zuwetina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</si>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</sst>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4822"/>
  <sheetViews>
    <sheetView tabSelected="1" topLeftCell="A1366" workbookViewId="0">
      <selection activeCell="J1380" sqref="J1380"/>
    </sheetView>
  </sheetViews>
  <sheetFormatPr defaultColWidth="14.44140625" defaultRowHeight="15" customHeight="1" x14ac:dyDescent="0.3"/>
  <cols>
    <col min="1" max="1" width="45" customWidth="1"/>
    <col min="2" max="146" width="8.6640625" customWidth="1"/>
  </cols>
  <sheetData>
    <row r="1" spans="1:146" ht="14.25" customHeight="1" x14ac:dyDescent="0.3">
      <c r="A1" s="1" t="s">
        <v>0</v>
      </c>
      <c r="B1" s="2" t="s">
        <v>1</v>
      </c>
      <c r="C1" s="1" t="s">
        <v>2</v>
      </c>
      <c r="D1" s="1" t="s">
        <v>4963</v>
      </c>
      <c r="E1" s="1" t="s">
        <v>3</v>
      </c>
      <c r="F1" s="1" t="s">
        <v>4</v>
      </c>
      <c r="G1" s="1" t="s">
        <v>5</v>
      </c>
      <c r="H1" s="1" t="s">
        <v>4964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</row>
    <row r="2" spans="1:146" ht="14.25" customHeight="1" x14ac:dyDescent="0.3">
      <c r="A2" s="1" t="s">
        <v>144</v>
      </c>
      <c r="B2" s="1" t="str">
        <f ca="1">IFERROR(__xludf.DUMMYFUNCTION("GOOGLETRANSLATE(A2, ""en"", ""fr"")"),"un")</f>
        <v>un</v>
      </c>
      <c r="J2" s="1" t="s">
        <v>7</v>
      </c>
    </row>
    <row r="3" spans="1:146" ht="14.25" customHeight="1" x14ac:dyDescent="0.3">
      <c r="A3" s="1" t="s">
        <v>145</v>
      </c>
      <c r="B3" s="1" t="str">
        <f ca="1">IFERROR(__xludf.DUMMYFUNCTION("GOOGLETRANSLATE(A3, ""en"", ""fr"")"),"raffinerie Abadan")</f>
        <v>raffinerie Abadan</v>
      </c>
      <c r="BF3" s="1" t="s">
        <v>55</v>
      </c>
      <c r="BT3" s="1" t="s">
        <v>69</v>
      </c>
      <c r="CL3" s="1" t="s">
        <v>87</v>
      </c>
      <c r="CT3" s="1" t="s">
        <v>95</v>
      </c>
      <c r="DC3" s="1" t="s">
        <v>104</v>
      </c>
      <c r="EB3" s="1" t="s">
        <v>129</v>
      </c>
    </row>
    <row r="4" spans="1:146" ht="14.25" customHeight="1" x14ac:dyDescent="0.3">
      <c r="A4" s="1" t="s">
        <v>146</v>
      </c>
      <c r="B4" s="1" t="str">
        <f ca="1">IFERROR(__xludf.DUMMYFUNCTION("GOOGLETRANSLATE(A4, ""en"", ""fr"")"),"ABANDONNER")</f>
        <v>ABANDONNER</v>
      </c>
      <c r="D4" s="1" t="s">
        <v>4963</v>
      </c>
    </row>
    <row r="5" spans="1:146" ht="14.25" customHeight="1" x14ac:dyDescent="0.3">
      <c r="A5" s="1" t="s">
        <v>147</v>
      </c>
      <c r="B5" s="1" t="str">
        <f ca="1">IFERROR(__xludf.DUMMYFUNCTION("GOOGLETRANSLATE(A5, ""en"", ""fr"")"),"ABANDONNÉ")</f>
        <v>ABANDONNÉ</v>
      </c>
      <c r="D5" s="1" t="s">
        <v>4963</v>
      </c>
    </row>
    <row r="6" spans="1:146" ht="14.25" customHeight="1" x14ac:dyDescent="0.3">
      <c r="A6" s="1" t="s">
        <v>148</v>
      </c>
      <c r="B6" s="1" t="str">
        <f ca="1">IFERROR(__xludf.DUMMYFUNCTION("GOOGLETRANSLATE(A6, ""en"", ""fr"")"),"Abandon")</f>
        <v>Abandon</v>
      </c>
      <c r="D6" s="1" t="s">
        <v>4963</v>
      </c>
    </row>
    <row r="7" spans="1:146" ht="14.25" customHeight="1" x14ac:dyDescent="0.3">
      <c r="A7" s="1" t="s">
        <v>149</v>
      </c>
      <c r="B7" s="1" t="str">
        <f ca="1">IFERROR(__xludf.DUMMYFUNCTION("GOOGLETRANSLATE(A7, ""en"", ""fr"")"),"ABANDON")</f>
        <v>ABANDON</v>
      </c>
      <c r="D7" s="1" t="s">
        <v>4963</v>
      </c>
    </row>
    <row r="8" spans="1:146" ht="14.25" customHeight="1" x14ac:dyDescent="0.3">
      <c r="A8" s="1" t="s">
        <v>150</v>
      </c>
      <c r="B8" s="1" t="str">
        <f ca="1">IFERROR(__xludf.DUMMYFUNCTION("GOOGLETRANSLATE(A8, ""en"", ""fr"")"),"Abandon")</f>
        <v>Abandon</v>
      </c>
      <c r="D8" s="1" t="s">
        <v>4963</v>
      </c>
    </row>
    <row r="9" spans="1:146" ht="14.25" customHeight="1" x14ac:dyDescent="0.3">
      <c r="A9" s="1" t="s">
        <v>151</v>
      </c>
      <c r="B9" s="1" t="str">
        <f ca="1">IFERROR(__xludf.DUMMYFUNCTION("GOOGLETRANSLATE(A9, ""en"", ""fr"")"),"Abandon")</f>
        <v>Abandon</v>
      </c>
      <c r="D9" s="1" t="s">
        <v>4963</v>
      </c>
    </row>
    <row r="10" spans="1:146" ht="14.25" customHeight="1" x14ac:dyDescent="0.3">
      <c r="A10" s="1" t="s">
        <v>152</v>
      </c>
      <c r="B10" s="1" t="str">
        <f ca="1">IFERROR(__xludf.DUMMYFUNCTION("GOOGLETRANSLATE(A10, ""en"", ""fr"")"),"Abdiqué")</f>
        <v>Abdiqué</v>
      </c>
      <c r="D10" s="1" t="s">
        <v>4963</v>
      </c>
    </row>
    <row r="11" spans="1:146" ht="14.25" customHeight="1" x14ac:dyDescent="0.3">
      <c r="A11" s="1" t="s">
        <v>153</v>
      </c>
      <c r="B11" s="1" t="str">
        <f ca="1">IFERROR(__xludf.DUMMYFUNCTION("GOOGLETRANSLATE(A11, ""en"", ""fr"")"),"Abdicates")</f>
        <v>Abdicates</v>
      </c>
      <c r="D11" s="1" t="s">
        <v>4963</v>
      </c>
    </row>
    <row r="12" spans="1:146" ht="14.25" customHeight="1" x14ac:dyDescent="0.3">
      <c r="A12" s="1" t="s">
        <v>154</v>
      </c>
      <c r="B12" s="1" t="str">
        <f ca="1">IFERROR(__xludf.DUMMYFUNCTION("GOOGLETRANSLATE(A12, ""en"", ""fr"")"),"Abdication")</f>
        <v>Abdication</v>
      </c>
      <c r="D12" s="1" t="s">
        <v>4963</v>
      </c>
    </row>
    <row r="13" spans="1:146" ht="14.25" customHeight="1" x14ac:dyDescent="0.3">
      <c r="A13" s="1" t="s">
        <v>155</v>
      </c>
      <c r="B13" s="1" t="str">
        <f ca="1">IFERROR(__xludf.DUMMYFUNCTION("GOOGLETRANSLATE(A13, ""en"", ""fr"")"),"ABDICATION")</f>
        <v>ABDICATION</v>
      </c>
      <c r="D13" s="1" t="s">
        <v>4963</v>
      </c>
    </row>
    <row r="14" spans="1:146" ht="14.25" customHeight="1" x14ac:dyDescent="0.3">
      <c r="A14" s="1" t="s">
        <v>156</v>
      </c>
      <c r="B14" s="1" t="str">
        <f ca="1">IFERROR(__xludf.DUMMYFUNCTION("GOOGLETRANSLATE(A14, ""en"", ""fr"")"),"Abdications")</f>
        <v>Abdications</v>
      </c>
      <c r="D14" s="1" t="s">
        <v>4963</v>
      </c>
    </row>
    <row r="15" spans="1:146" ht="14.25" customHeight="1" x14ac:dyDescent="0.3">
      <c r="A15" s="1" t="s">
        <v>157</v>
      </c>
      <c r="B15" s="1" t="str">
        <f ca="1">IFERROR(__xludf.DUMMYFUNCTION("GOOGLETRANSLATE(A15, ""en"", ""fr"")"),"ABERRANT")</f>
        <v>ABERRANT</v>
      </c>
      <c r="D15" s="1" t="s">
        <v>4963</v>
      </c>
    </row>
    <row r="16" spans="1:146" ht="14.25" customHeight="1" x14ac:dyDescent="0.3">
      <c r="A16" s="1" t="s">
        <v>158</v>
      </c>
      <c r="B16" s="1" t="str">
        <f ca="1">IFERROR(__xludf.DUMMYFUNCTION("GOOGLETRANSLATE(A16, ""en"", ""fr"")"),"ABERRATION")</f>
        <v>ABERRATION</v>
      </c>
      <c r="D16" s="1" t="s">
        <v>4963</v>
      </c>
    </row>
    <row r="17" spans="1:108" ht="14.25" customHeight="1" x14ac:dyDescent="0.3">
      <c r="A17" s="1" t="s">
        <v>159</v>
      </c>
      <c r="B17" s="1" t="str">
        <f ca="1">IFERROR(__xludf.DUMMYFUNCTION("GOOGLETRANSLATE(A17, ""en"", ""fr"")"),"Aberratif")</f>
        <v>Aberratif</v>
      </c>
      <c r="D17" s="1" t="s">
        <v>4963</v>
      </c>
    </row>
    <row r="18" spans="1:108" ht="14.25" customHeight="1" x14ac:dyDescent="0.3">
      <c r="A18" s="1" t="s">
        <v>160</v>
      </c>
      <c r="B18" s="1" t="str">
        <f ca="1">IFERROR(__xludf.DUMMYFUNCTION("GOOGLETRANSLATE(A18, ""en"", ""fr"")"),"Aberrations")</f>
        <v>Aberrations</v>
      </c>
      <c r="D18" s="1" t="s">
        <v>4963</v>
      </c>
    </row>
    <row r="19" spans="1:108" ht="14.25" customHeight="1" x14ac:dyDescent="0.3">
      <c r="A19" s="1" t="s">
        <v>161</v>
      </c>
      <c r="B19" s="1" t="str">
        <f ca="1">IFERROR(__xludf.DUMMYFUNCTION("GOOGLETRANSLATE(A19, ""en"", ""fr"")"),"Encourageant")</f>
        <v>Encourageant</v>
      </c>
      <c r="D19" s="1" t="s">
        <v>4963</v>
      </c>
    </row>
    <row r="20" spans="1:108" ht="14.25" customHeight="1" x14ac:dyDescent="0.3">
      <c r="A20" s="1" t="s">
        <v>162</v>
      </c>
      <c r="B20" s="1" t="str">
        <f ca="1">IFERROR(__xludf.DUMMYFUNCTION("GOOGLETRANSLATE(A20, ""en"", ""fr"")"),"CAPABLE")</f>
        <v>CAPABLE</v>
      </c>
      <c r="H20" s="1" t="s">
        <v>4964</v>
      </c>
    </row>
    <row r="21" spans="1:108" ht="14.25" customHeight="1" x14ac:dyDescent="0.3">
      <c r="A21" s="1" t="s">
        <v>163</v>
      </c>
      <c r="B21" s="1" t="str">
        <f ca="1">IFERROR(__xludf.DUMMYFUNCTION("GOOGLETRANSLATE(A21, ""en"", ""fr"")"),"ANORMAL")</f>
        <v>ANORMAL</v>
      </c>
      <c r="D21" s="1" t="s">
        <v>4963</v>
      </c>
    </row>
    <row r="22" spans="1:108" ht="14.25" customHeight="1" x14ac:dyDescent="0.3">
      <c r="A22" s="1" t="s">
        <v>164</v>
      </c>
      <c r="B22" s="1" t="str">
        <f ca="1">IFERROR(__xludf.DUMMYFUNCTION("GOOGLETRANSLATE(A22, ""en"", ""fr"")"),"Anomalies")</f>
        <v>Anomalies</v>
      </c>
      <c r="D22" s="1" t="s">
        <v>4963</v>
      </c>
    </row>
    <row r="23" spans="1:108" ht="14.25" customHeight="1" x14ac:dyDescent="0.3">
      <c r="A23" s="1" t="s">
        <v>165</v>
      </c>
      <c r="B23" s="1" t="str">
        <f ca="1">IFERROR(__xludf.DUMMYFUNCTION("GOOGLETRANSLATE(A23, ""en"", ""fr"")"),"ANOMALIE")</f>
        <v>ANOMALIE</v>
      </c>
      <c r="D23" s="1" t="s">
        <v>4963</v>
      </c>
    </row>
    <row r="24" spans="1:108" ht="14.25" customHeight="1" x14ac:dyDescent="0.3">
      <c r="A24" s="1" t="s">
        <v>166</v>
      </c>
      <c r="B24" s="1" t="str">
        <f ca="1">IFERROR(__xludf.DUMMYFUNCTION("GOOGLETRANSLATE(A24, ""en"", ""fr"")"),"Anormalement")</f>
        <v>Anormalement</v>
      </c>
      <c r="D24" s="1" t="s">
        <v>4963</v>
      </c>
    </row>
    <row r="25" spans="1:108" ht="14.25" customHeight="1" x14ac:dyDescent="0.3">
      <c r="A25" s="1" t="s">
        <v>167</v>
      </c>
      <c r="B25" s="1" t="str">
        <f ca="1">IFERROR(__xludf.DUMMYFUNCTION("GOOGLETRANSLATE(A25, ""en"", ""fr"")"),"ABOLIR")</f>
        <v>ABOLIR</v>
      </c>
      <c r="D25" s="1" t="s">
        <v>4963</v>
      </c>
    </row>
    <row r="26" spans="1:108" ht="14.25" customHeight="1" x14ac:dyDescent="0.3">
      <c r="A26" s="1" t="s">
        <v>168</v>
      </c>
      <c r="B26" s="1" t="str">
        <f ca="1">IFERROR(__xludf.DUMMYFUNCTION("GOOGLETRANSLATE(A26, ""en"", ""fr"")"),"ABOLI")</f>
        <v>ABOLI</v>
      </c>
      <c r="D26" s="1" t="s">
        <v>4963</v>
      </c>
    </row>
    <row r="27" spans="1:108" ht="14.25" customHeight="1" x14ac:dyDescent="0.3">
      <c r="A27" s="1" t="s">
        <v>169</v>
      </c>
      <c r="B27" s="1" t="str">
        <f ca="1">IFERROR(__xludf.DUMMYFUNCTION("GOOGLETRANSLATE(A27, ""en"", ""fr"")"),"Abolir")</f>
        <v>Abolir</v>
      </c>
      <c r="D27" s="1" t="s">
        <v>4963</v>
      </c>
    </row>
    <row r="28" spans="1:108" ht="14.25" customHeight="1" x14ac:dyDescent="0.3">
      <c r="A28" s="1" t="s">
        <v>170</v>
      </c>
      <c r="B28" s="1" t="str">
        <f ca="1">IFERROR(__xludf.DUMMYFUNCTION("GOOGLETRANSLATE(A28, ""en"", ""fr"")"),"Abolition")</f>
        <v>Abolition</v>
      </c>
      <c r="D28" s="1" t="s">
        <v>4963</v>
      </c>
    </row>
    <row r="29" spans="1:108" ht="14.25" customHeight="1" x14ac:dyDescent="0.3">
      <c r="A29" s="1" t="s">
        <v>171</v>
      </c>
      <c r="B29" s="1" t="str">
        <f ca="1">IFERROR(__xludf.DUMMYFUNCTION("GOOGLETRANSLATE(A29, ""en"", ""fr"")"),"à propos")</f>
        <v>à propos</v>
      </c>
      <c r="J29" s="1" t="s">
        <v>7</v>
      </c>
    </row>
    <row r="30" spans="1:108" ht="14.25" customHeight="1" x14ac:dyDescent="0.3">
      <c r="A30" s="1" t="s">
        <v>172</v>
      </c>
      <c r="B30" s="1" t="str">
        <f ca="1">IFERROR(__xludf.DUMMYFUNCTION("GOOGLETRANSLATE(A30, ""en"", ""fr"")"),"au-dessus de")</f>
        <v>au-dessus de</v>
      </c>
      <c r="J30" s="1" t="s">
        <v>7</v>
      </c>
    </row>
    <row r="31" spans="1:108" ht="14.25" customHeight="1" x14ac:dyDescent="0.3">
      <c r="A31" s="1" t="s">
        <v>173</v>
      </c>
      <c r="B31" s="1" t="str">
        <f ca="1">IFERROR(__xludf.DUMMYFUNCTION("GOOGLETRANSLATE(A31, ""en"", ""fr"")"),"Abqaiq")</f>
        <v>Abqaiq</v>
      </c>
      <c r="AN31" s="1" t="s">
        <v>37</v>
      </c>
      <c r="AU31" s="1" t="s">
        <v>44</v>
      </c>
      <c r="BS31" s="1" t="s">
        <v>68</v>
      </c>
      <c r="DD31" s="1" t="s">
        <v>105</v>
      </c>
    </row>
    <row r="32" spans="1:108" ht="14.25" customHeight="1" x14ac:dyDescent="0.3">
      <c r="A32" s="1" t="s">
        <v>174</v>
      </c>
      <c r="B32" s="1" t="str">
        <f ca="1">IFERROR(__xludf.DUMMYFUNCTION("GOOGLETRANSLATE(A32, ""en"", ""fr"")"),"ABROGER")</f>
        <v>ABROGER</v>
      </c>
      <c r="D32" s="1" t="s">
        <v>4963</v>
      </c>
    </row>
    <row r="33" spans="1:144" ht="14.25" customHeight="1" x14ac:dyDescent="0.3">
      <c r="A33" s="1" t="s">
        <v>175</v>
      </c>
      <c r="B33" s="1" t="str">
        <f ca="1">IFERROR(__xludf.DUMMYFUNCTION("GOOGLETRANSLATE(A33, ""en"", ""fr"")"),"ABROGÉ")</f>
        <v>ABROGÉ</v>
      </c>
      <c r="D33" s="1" t="s">
        <v>4963</v>
      </c>
    </row>
    <row r="34" spans="1:144" ht="14.25" customHeight="1" x14ac:dyDescent="0.3">
      <c r="A34" s="1" t="s">
        <v>176</v>
      </c>
      <c r="B34" s="1" t="str">
        <f ca="1">IFERROR(__xludf.DUMMYFUNCTION("GOOGLETRANSLATE(A34, ""en"", ""fr"")"),"Abroger")</f>
        <v>Abroger</v>
      </c>
      <c r="D34" s="1" t="s">
        <v>4963</v>
      </c>
    </row>
    <row r="35" spans="1:144" ht="14.25" customHeight="1" x14ac:dyDescent="0.3">
      <c r="A35" s="1" t="s">
        <v>177</v>
      </c>
      <c r="B35" s="1" t="str">
        <f ca="1">IFERROR(__xludf.DUMMYFUNCTION("GOOGLETRANSLATE(A35, ""en"", ""fr"")"),"Abroge")</f>
        <v>Abroge</v>
      </c>
      <c r="D35" s="1" t="s">
        <v>4963</v>
      </c>
    </row>
    <row r="36" spans="1:144" ht="14.25" customHeight="1" x14ac:dyDescent="0.3">
      <c r="A36" s="1" t="s">
        <v>178</v>
      </c>
      <c r="B36" s="1" t="str">
        <f ca="1">IFERROR(__xludf.DUMMYFUNCTION("GOOGLETRANSLATE(A36, ""en"", ""fr"")"),"ABROGATION")</f>
        <v>ABROGATION</v>
      </c>
      <c r="D36" s="1" t="s">
        <v>4963</v>
      </c>
    </row>
    <row r="37" spans="1:144" ht="14.25" customHeight="1" x14ac:dyDescent="0.3">
      <c r="A37" s="1" t="s">
        <v>179</v>
      </c>
      <c r="B37" s="1" t="str">
        <f ca="1">IFERROR(__xludf.DUMMYFUNCTION("GOOGLETRANSLATE(A37, ""en"", ""fr"")"),"Abrogations")</f>
        <v>Abrogations</v>
      </c>
      <c r="D37" s="1" t="s">
        <v>4963</v>
      </c>
    </row>
    <row r="38" spans="1:144" ht="14.25" customHeight="1" x14ac:dyDescent="0.3">
      <c r="A38" s="1" t="s">
        <v>180</v>
      </c>
      <c r="B38" s="1" t="str">
        <f ca="1">IFERROR(__xludf.DUMMYFUNCTION("GOOGLETRANSLATE(A38, ""en"", ""fr"")"),"BRUSQUE")</f>
        <v>BRUSQUE</v>
      </c>
      <c r="D38" s="1" t="s">
        <v>4963</v>
      </c>
    </row>
    <row r="39" spans="1:144" ht="14.25" customHeight="1" x14ac:dyDescent="0.3">
      <c r="A39" s="1" t="s">
        <v>181</v>
      </c>
      <c r="B39" s="1" t="str">
        <f ca="1">IFERROR(__xludf.DUMMYFUNCTION("GOOGLETRANSLATE(A39, ""en"", ""fr"")"),"BRUSQUEMENT")</f>
        <v>BRUSQUEMENT</v>
      </c>
      <c r="D39" s="1" t="s">
        <v>4963</v>
      </c>
    </row>
    <row r="40" spans="1:144" ht="14.25" customHeight="1" x14ac:dyDescent="0.3">
      <c r="A40" s="1" t="s">
        <v>182</v>
      </c>
      <c r="B40" s="1" t="str">
        <f ca="1">IFERROR(__xludf.DUMMYFUNCTION("GOOGLETRANSLATE(A40, ""en"", ""fr"")"),"BRUSQUERIE")</f>
        <v>BRUSQUERIE</v>
      </c>
      <c r="D40" s="1" t="s">
        <v>4963</v>
      </c>
    </row>
    <row r="41" spans="1:144" ht="14.25" customHeight="1" x14ac:dyDescent="0.3">
      <c r="A41" s="1" t="s">
        <v>183</v>
      </c>
      <c r="B41" s="1" t="str">
        <f ca="1">IFERROR(__xludf.DUMMYFUNCTION("GOOGLETRANSLATE(A41, ""en"", ""fr"")"),"ABSENCE")</f>
        <v>ABSENCE</v>
      </c>
      <c r="D41" s="1" t="s">
        <v>4963</v>
      </c>
    </row>
    <row r="42" spans="1:144" ht="14.25" customHeight="1" x14ac:dyDescent="0.3">
      <c r="A42" s="1" t="s">
        <v>184</v>
      </c>
      <c r="B42" s="1" t="str">
        <f ca="1">IFERROR(__xludf.DUMMYFUNCTION("GOOGLETRANSLATE(A42, ""en"", ""fr"")"),"Absences")</f>
        <v>Absences</v>
      </c>
      <c r="D42" s="1" t="s">
        <v>4963</v>
      </c>
    </row>
    <row r="43" spans="1:144" ht="14.25" customHeight="1" x14ac:dyDescent="0.3">
      <c r="A43" s="1" t="s">
        <v>185</v>
      </c>
      <c r="B43" s="1" t="str">
        <f ca="1">IFERROR(__xludf.DUMMYFUNCTION("GOOGLETRANSLATE(A43, ""en"", ""fr"")"),"ABSENTÉISME")</f>
        <v>ABSENTÉISME</v>
      </c>
      <c r="D43" s="1" t="s">
        <v>4963</v>
      </c>
    </row>
    <row r="44" spans="1:144" ht="14.25" customHeight="1" x14ac:dyDescent="0.3">
      <c r="A44" s="1" t="s">
        <v>186</v>
      </c>
      <c r="B44" s="1" t="str">
        <f ca="1">IFERROR(__xludf.DUMMYFUNCTION("GOOGLETRANSLATE(A44, ""en"", ""fr"")"),"avantage Absolut")</f>
        <v>avantage Absolut</v>
      </c>
      <c r="M44" s="1" t="s">
        <v>10</v>
      </c>
    </row>
    <row r="45" spans="1:144" ht="14.25" customHeight="1" x14ac:dyDescent="0.3">
      <c r="A45" s="1" t="s">
        <v>187</v>
      </c>
      <c r="B45" s="1" t="str">
        <f ca="1">IFERROR(__xludf.DUMMYFUNCTION("GOOGLETRANSLATE(A45, ""en"", ""fr"")"),"Abu Bukhoosh")</f>
        <v>Abu Bukhoosh</v>
      </c>
      <c r="R45" s="1" t="s">
        <v>15</v>
      </c>
      <c r="CS45" s="1" t="s">
        <v>94</v>
      </c>
    </row>
    <row r="46" spans="1:144" ht="14.25" customHeight="1" x14ac:dyDescent="0.3">
      <c r="A46" s="1" t="s">
        <v>188</v>
      </c>
      <c r="B46" s="1" t="str">
        <f ca="1">IFERROR(__xludf.DUMMYFUNCTION("GOOGLETRANSLATE(A46, ""en"", ""fr"")"),"ABONDANCE")</f>
        <v>ABONDANCE</v>
      </c>
      <c r="H46" s="1" t="s">
        <v>4964</v>
      </c>
    </row>
    <row r="47" spans="1:144" ht="14.25" customHeight="1" x14ac:dyDescent="0.3">
      <c r="A47" s="1" t="s">
        <v>189</v>
      </c>
      <c r="B47" s="1" t="str">
        <f ca="1">IFERROR(__xludf.DUMMYFUNCTION("GOOGLETRANSLATE(A47, ""en"", ""fr"")"),"ABONDANT")</f>
        <v>ABONDANT</v>
      </c>
      <c r="H47" s="1" t="s">
        <v>4964</v>
      </c>
    </row>
    <row r="48" spans="1:144" ht="14.25" customHeight="1" x14ac:dyDescent="0.3">
      <c r="A48" s="1" t="s">
        <v>190</v>
      </c>
      <c r="B48" s="1" t="str">
        <f ca="1">IFERROR(__xludf.DUMMYFUNCTION("GOOGLETRANSLATE(A48, ""en"", ""fr"")"),"abu-sa'fah")</f>
        <v>abu-sa'fah</v>
      </c>
      <c r="BS48" s="1" t="s">
        <v>68</v>
      </c>
      <c r="DD48" s="1" t="s">
        <v>105</v>
      </c>
      <c r="EN48" s="1" t="s">
        <v>141</v>
      </c>
    </row>
    <row r="49" spans="1:13" ht="14.25" customHeight="1" x14ac:dyDescent="0.3">
      <c r="A49" s="1" t="s">
        <v>191</v>
      </c>
      <c r="B49" s="1" t="str">
        <f ca="1">IFERROR(__xludf.DUMMYFUNCTION("GOOGLETRANSLATE(A49, ""en"", ""fr"")"),"ABUS")</f>
        <v>ABUS</v>
      </c>
      <c r="D49" s="1" t="s">
        <v>4963</v>
      </c>
    </row>
    <row r="50" spans="1:13" ht="14.25" customHeight="1" x14ac:dyDescent="0.3">
      <c r="A50" s="1" t="s">
        <v>192</v>
      </c>
      <c r="B50" s="1" t="str">
        <f ca="1">IFERROR(__xludf.DUMMYFUNCTION("GOOGLETRANSLATE(A50, ""en"", ""fr"")"),"Maltraité")</f>
        <v>Maltraité</v>
      </c>
      <c r="D50" s="1" t="s">
        <v>4963</v>
      </c>
    </row>
    <row r="51" spans="1:13" ht="14.25" customHeight="1" x14ac:dyDescent="0.3">
      <c r="A51" s="1" t="s">
        <v>193</v>
      </c>
      <c r="B51" s="1" t="str">
        <f ca="1">IFERROR(__xludf.DUMMYFUNCTION("GOOGLETRANSLATE(A51, ""en"", ""fr"")"),"LES ABUS")</f>
        <v>LES ABUS</v>
      </c>
      <c r="D51" s="1" t="s">
        <v>4963</v>
      </c>
    </row>
    <row r="52" spans="1:13" ht="14.25" customHeight="1" x14ac:dyDescent="0.3">
      <c r="A52" s="1" t="s">
        <v>194</v>
      </c>
      <c r="B52" s="1" t="str">
        <f ca="1">IFERROR(__xludf.DUMMYFUNCTION("GOOGLETRANSLATE(A52, ""en"", ""fr"")"),"Abus")</f>
        <v>Abus</v>
      </c>
      <c r="D52" s="1" t="s">
        <v>4963</v>
      </c>
    </row>
    <row r="53" spans="1:13" ht="14.25" customHeight="1" x14ac:dyDescent="0.3">
      <c r="A53" s="1" t="s">
        <v>195</v>
      </c>
      <c r="B53" s="1" t="str">
        <f ca="1">IFERROR(__xludf.DUMMYFUNCTION("GOOGLETRANSLATE(A53, ""en"", ""fr"")"),"INJURIEUX")</f>
        <v>INJURIEUX</v>
      </c>
      <c r="D53" s="1" t="s">
        <v>4963</v>
      </c>
    </row>
    <row r="54" spans="1:13" ht="14.25" customHeight="1" x14ac:dyDescent="0.3">
      <c r="A54" s="1" t="s">
        <v>196</v>
      </c>
      <c r="B54" s="1" t="str">
        <f ca="1">IFERROR(__xludf.DUMMYFUNCTION("GOOGLETRANSLATE(A54, ""en"", ""fr"")"),"Abusivement")</f>
        <v>Abusivement</v>
      </c>
      <c r="D54" s="1" t="s">
        <v>4963</v>
      </c>
    </row>
    <row r="55" spans="1:13" ht="14.25" customHeight="1" x14ac:dyDescent="0.3">
      <c r="A55" s="1" t="s">
        <v>197</v>
      </c>
      <c r="B55" s="1" t="str">
        <f ca="1">IFERROR(__xludf.DUMMYFUNCTION("GOOGLETRANSLATE(A55, ""en"", ""fr"")"),"Abusité")</f>
        <v>Abusité</v>
      </c>
      <c r="D55" s="1" t="s">
        <v>4963</v>
      </c>
    </row>
    <row r="56" spans="1:13" ht="14.25" customHeight="1" x14ac:dyDescent="0.3">
      <c r="A56" s="1" t="s">
        <v>198</v>
      </c>
      <c r="B56" s="1" t="str">
        <f ca="1">IFERROR(__xludf.DUMMYFUNCTION("GOOGLETRANSLATE(A56, ""en"", ""fr"")"),"ACCIDENT")</f>
        <v>ACCIDENT</v>
      </c>
      <c r="D56" s="1" t="s">
        <v>4963</v>
      </c>
    </row>
    <row r="57" spans="1:13" ht="14.25" customHeight="1" x14ac:dyDescent="0.3">
      <c r="A57" s="1" t="s">
        <v>199</v>
      </c>
      <c r="B57" s="1" t="str">
        <f ca="1">IFERROR(__xludf.DUMMYFUNCTION("GOOGLETRANSLATE(A57, ""en"", ""fr"")"),"ACCIDENTEL")</f>
        <v>ACCIDENTEL</v>
      </c>
      <c r="D57" s="1" t="s">
        <v>4963</v>
      </c>
    </row>
    <row r="58" spans="1:13" ht="14.25" customHeight="1" x14ac:dyDescent="0.3">
      <c r="A58" s="1" t="s">
        <v>200</v>
      </c>
      <c r="B58" s="1" t="str">
        <f ca="1">IFERROR(__xludf.DUMMYFUNCTION("GOOGLETRANSLATE(A58, ""en"", ""fr"")"),"ACCIDENTELLEMENT")</f>
        <v>ACCIDENTELLEMENT</v>
      </c>
      <c r="D58" s="1" t="s">
        <v>4963</v>
      </c>
    </row>
    <row r="59" spans="1:13" ht="14.25" customHeight="1" x14ac:dyDescent="0.3">
      <c r="A59" s="1" t="s">
        <v>201</v>
      </c>
      <c r="B59" s="1" t="str">
        <f ca="1">IFERROR(__xludf.DUMMYFUNCTION("GOOGLETRANSLATE(A59, ""en"", ""fr"")"),"LES ACCIDENTS")</f>
        <v>LES ACCIDENTS</v>
      </c>
      <c r="D59" s="1" t="s">
        <v>4963</v>
      </c>
    </row>
    <row r="60" spans="1:13" ht="14.25" customHeight="1" x14ac:dyDescent="0.3">
      <c r="A60" s="1" t="s">
        <v>202</v>
      </c>
      <c r="B60" s="1" t="str">
        <f ca="1">IFERROR(__xludf.DUMMYFUNCTION("GOOGLETRANSLATE(A60, ""en"", ""fr"")"),"Acclamé")</f>
        <v>Acclamé</v>
      </c>
      <c r="H60" s="1" t="s">
        <v>4964</v>
      </c>
    </row>
    <row r="61" spans="1:13" ht="14.25" customHeight="1" x14ac:dyDescent="0.3">
      <c r="A61" s="1" t="s">
        <v>203</v>
      </c>
      <c r="B61" s="1" t="str">
        <f ca="1">IFERROR(__xludf.DUMMYFUNCTION("GOOGLETRANSLATE(A61, ""en"", ""fr"")"),"Politique monétaire accommodante")</f>
        <v>Politique monétaire accommodante</v>
      </c>
      <c r="M61" s="1" t="s">
        <v>10</v>
      </c>
    </row>
    <row r="62" spans="1:13" ht="14.25" customHeight="1" x14ac:dyDescent="0.3">
      <c r="A62" s="1" t="s">
        <v>204</v>
      </c>
      <c r="B62" s="1" t="str">
        <f ca="1">IFERROR(__xludf.DUMMYFUNCTION("GOOGLETRANSLATE(A62, ""en"", ""fr"")"),"ACCOMPLIR")</f>
        <v>ACCOMPLIR</v>
      </c>
      <c r="H62" s="1" t="s">
        <v>4964</v>
      </c>
    </row>
    <row r="63" spans="1:13" ht="14.25" customHeight="1" x14ac:dyDescent="0.3">
      <c r="A63" s="1" t="s">
        <v>205</v>
      </c>
      <c r="B63" s="1" t="str">
        <f ca="1">IFERROR(__xludf.DUMMYFUNCTION("GOOGLETRANSLATE(A63, ""en"", ""fr"")"),"RÉALISÉ")</f>
        <v>RÉALISÉ</v>
      </c>
      <c r="H63" s="1" t="s">
        <v>4964</v>
      </c>
    </row>
    <row r="64" spans="1:13" ht="14.25" customHeight="1" x14ac:dyDescent="0.3">
      <c r="A64" s="1" t="s">
        <v>206</v>
      </c>
      <c r="B64" s="1" t="str">
        <f ca="1">IFERROR(__xludf.DUMMYFUNCTION("GOOGLETRANSLATE(A64, ""en"", ""fr"")"),"Accomplir")</f>
        <v>Accomplir</v>
      </c>
      <c r="H64" s="1" t="s">
        <v>4964</v>
      </c>
    </row>
    <row r="65" spans="1:96" ht="14.25" customHeight="1" x14ac:dyDescent="0.3">
      <c r="A65" s="1" t="s">
        <v>207</v>
      </c>
      <c r="B65" s="1" t="str">
        <f ca="1">IFERROR(__xludf.DUMMYFUNCTION("GOOGLETRANSLATE(A65, ""en"", ""fr"")"),"Réalisation")</f>
        <v>Réalisation</v>
      </c>
      <c r="H65" s="1" t="s">
        <v>4964</v>
      </c>
    </row>
    <row r="66" spans="1:96" ht="14.25" customHeight="1" x14ac:dyDescent="0.3">
      <c r="A66" s="1" t="s">
        <v>208</v>
      </c>
      <c r="B66" s="1" t="str">
        <f ca="1">IFERROR(__xludf.DUMMYFUNCTION("GOOGLETRANSLATE(A66, ""en"", ""fr"")"),"ACCOMPLISSEMENT")</f>
        <v>ACCOMPLISSEMENT</v>
      </c>
      <c r="H66" s="1" t="s">
        <v>4964</v>
      </c>
    </row>
    <row r="67" spans="1:96" ht="14.25" customHeight="1" x14ac:dyDescent="0.3">
      <c r="A67" s="1" t="s">
        <v>209</v>
      </c>
      <c r="B67" s="1" t="str">
        <f ca="1">IFERROR(__xludf.DUMMYFUNCTION("GOOGLETRANSLATE(A67, ""en"", ""fr"")"),"Réalisations")</f>
        <v>Réalisations</v>
      </c>
      <c r="H67" s="1" t="s">
        <v>4964</v>
      </c>
    </row>
    <row r="68" spans="1:96" ht="14.25" customHeight="1" x14ac:dyDescent="0.3">
      <c r="A68" s="1" t="s">
        <v>210</v>
      </c>
      <c r="B68" s="1" t="str">
        <f ca="1">IFERROR(__xludf.DUMMYFUNCTION("GOOGLETRANSLATE(A68, ""en"", ""fr"")"),"comptes à payer")</f>
        <v>comptes à payer</v>
      </c>
      <c r="CR68" s="1" t="s">
        <v>93</v>
      </c>
    </row>
    <row r="69" spans="1:96" ht="14.25" customHeight="1" x14ac:dyDescent="0.3">
      <c r="A69" s="1" t="s">
        <v>211</v>
      </c>
      <c r="B69" s="1" t="str">
        <f ca="1">IFERROR(__xludf.DUMMYFUNCTION("GOOGLETRANSLATE(A69, ""en"", ""fr"")"),"comptes débiteurs")</f>
        <v>comptes débiteurs</v>
      </c>
      <c r="CR69" s="1" t="s">
        <v>93</v>
      </c>
    </row>
    <row r="70" spans="1:96" ht="14.25" customHeight="1" x14ac:dyDescent="0.3">
      <c r="A70" s="1" t="s">
        <v>212</v>
      </c>
      <c r="B70" s="1" t="str">
        <f ca="1">IFERROR(__xludf.DUMMYFUNCTION("GOOGLETRANSLATE(A70, ""en"", ""fr"")"),"dépenses accrues")</f>
        <v>dépenses accrues</v>
      </c>
      <c r="CR70" s="1" t="s">
        <v>93</v>
      </c>
    </row>
    <row r="71" spans="1:96" ht="14.25" customHeight="1" x14ac:dyDescent="0.3">
      <c r="A71" s="1" t="s">
        <v>213</v>
      </c>
      <c r="B71" s="1" t="str">
        <f ca="1">IFERROR(__xludf.DUMMYFUNCTION("GOOGLETRANSLATE(A71, ""en"", ""fr"")"),"dépréciation accumulée")</f>
        <v>dépréciation accumulée</v>
      </c>
      <c r="CR71" s="1" t="s">
        <v>93</v>
      </c>
    </row>
    <row r="72" spans="1:96" ht="14.25" customHeight="1" x14ac:dyDescent="0.3">
      <c r="A72" s="1" t="s">
        <v>214</v>
      </c>
      <c r="B72" s="1" t="str">
        <f ca="1">IFERROR(__xludf.DUMMYFUNCTION("GOOGLETRANSLATE(A72, ""en"", ""fr"")"),"ACCUSATION")</f>
        <v>ACCUSATION</v>
      </c>
      <c r="D72" s="1" t="s">
        <v>4963</v>
      </c>
    </row>
    <row r="73" spans="1:96" ht="14.25" customHeight="1" x14ac:dyDescent="0.3">
      <c r="A73" s="1" t="s">
        <v>215</v>
      </c>
      <c r="B73" s="1" t="str">
        <f ca="1">IFERROR(__xludf.DUMMYFUNCTION("GOOGLETRANSLATE(A73, ""en"", ""fr"")"),"Accusations")</f>
        <v>Accusations</v>
      </c>
      <c r="D73" s="1" t="s">
        <v>4963</v>
      </c>
    </row>
    <row r="74" spans="1:96" ht="14.25" customHeight="1" x14ac:dyDescent="0.3">
      <c r="A74" s="1" t="s">
        <v>216</v>
      </c>
      <c r="B74" s="1" t="str">
        <f ca="1">IFERROR(__xludf.DUMMYFUNCTION("GOOGLETRANSLATE(A74, ""en"", ""fr"")"),"ACCUSER")</f>
        <v>ACCUSER</v>
      </c>
      <c r="D74" s="1" t="s">
        <v>4963</v>
      </c>
    </row>
    <row r="75" spans="1:96" ht="14.25" customHeight="1" x14ac:dyDescent="0.3">
      <c r="A75" s="1" t="s">
        <v>217</v>
      </c>
      <c r="B75" s="1" t="str">
        <f ca="1">IFERROR(__xludf.DUMMYFUNCTION("GOOGLETRANSLATE(A75, ""en"", ""fr"")"),"ACCUSÉ")</f>
        <v>ACCUSÉ</v>
      </c>
      <c r="D75" s="1" t="s">
        <v>4963</v>
      </c>
    </row>
    <row r="76" spans="1:96" ht="14.25" customHeight="1" x14ac:dyDescent="0.3">
      <c r="A76" s="1" t="s">
        <v>218</v>
      </c>
      <c r="B76" s="1" t="str">
        <f ca="1">IFERROR(__xludf.DUMMYFUNCTION("GOOGLETRANSLATE(A76, ""en"", ""fr"")"),"Accusation")</f>
        <v>Accusation</v>
      </c>
      <c r="D76" s="1" t="s">
        <v>4963</v>
      </c>
    </row>
    <row r="77" spans="1:96" ht="14.25" customHeight="1" x14ac:dyDescent="0.3">
      <c r="A77" s="1" t="s">
        <v>219</v>
      </c>
      <c r="B77" s="1" t="str">
        <f ca="1">IFERROR(__xludf.DUMMYFUNCTION("GOOGLETRANSLATE(A77, ""en"", ""fr"")"),"Accusant")</f>
        <v>Accusant</v>
      </c>
      <c r="D77" s="1" t="s">
        <v>4963</v>
      </c>
    </row>
    <row r="78" spans="1:96" ht="14.25" customHeight="1" x14ac:dyDescent="0.3">
      <c r="A78" s="1" t="s">
        <v>220</v>
      </c>
      <c r="B78" s="1" t="str">
        <f ca="1">IFERROR(__xludf.DUMMYFUNCTION("GOOGLETRANSLATE(A78, ""en"", ""fr"")"),"ATTEINDRE")</f>
        <v>ATTEINDRE</v>
      </c>
      <c r="H78" s="1" t="s">
        <v>4964</v>
      </c>
    </row>
    <row r="79" spans="1:96" ht="14.25" customHeight="1" x14ac:dyDescent="0.3">
      <c r="A79" s="1" t="s">
        <v>221</v>
      </c>
      <c r="B79" s="1" t="str">
        <f ca="1">IFERROR(__xludf.DUMMYFUNCTION("GOOGLETRANSLATE(A79, ""en"", ""fr"")"),"Réalisé")</f>
        <v>Réalisé</v>
      </c>
      <c r="H79" s="1" t="s">
        <v>4964</v>
      </c>
    </row>
    <row r="80" spans="1:96" ht="14.25" customHeight="1" x14ac:dyDescent="0.3">
      <c r="A80" s="1" t="s">
        <v>222</v>
      </c>
      <c r="B80" s="1" t="str">
        <f ca="1">IFERROR(__xludf.DUMMYFUNCTION("GOOGLETRANSLATE(A80, ""en"", ""fr"")"),"RÉALISATION")</f>
        <v>RÉALISATION</v>
      </c>
      <c r="H80" s="1" t="s">
        <v>4964</v>
      </c>
    </row>
    <row r="81" spans="1:142" ht="14.25" customHeight="1" x14ac:dyDescent="0.3">
      <c r="A81" s="1" t="s">
        <v>223</v>
      </c>
      <c r="B81" s="1" t="str">
        <f ca="1">IFERROR(__xludf.DUMMYFUNCTION("GOOGLETRANSLATE(A81, ""en"", ""fr"")"),"RÉALISATIONS")</f>
        <v>RÉALISATIONS</v>
      </c>
      <c r="H81" s="1" t="s">
        <v>4964</v>
      </c>
    </row>
    <row r="82" spans="1:142" ht="14.25" customHeight="1" x14ac:dyDescent="0.3">
      <c r="A82" s="1" t="s">
        <v>224</v>
      </c>
      <c r="B82" s="1" t="str">
        <f ca="1">IFERROR(__xludf.DUMMYFUNCTION("GOOGLETRANSLATE(A82, ""en"", ""fr"")"),"Réaliser")</f>
        <v>Réaliser</v>
      </c>
      <c r="H82" s="1" t="s">
        <v>4964</v>
      </c>
    </row>
    <row r="83" spans="1:142" ht="14.25" customHeight="1" x14ac:dyDescent="0.3">
      <c r="A83" s="1" t="s">
        <v>225</v>
      </c>
      <c r="B83" s="1" t="str">
        <f ca="1">IFERROR(__xludf.DUMMYFUNCTION("GOOGLETRANSLATE(A83, ""en"", ""fr"")"),"Réalisation")</f>
        <v>Réalisation</v>
      </c>
      <c r="H83" s="1" t="s">
        <v>4964</v>
      </c>
    </row>
    <row r="84" spans="1:142" ht="14.25" customHeight="1" x14ac:dyDescent="0.3">
      <c r="A84" s="1" t="s">
        <v>226</v>
      </c>
      <c r="B84" s="1" t="str">
        <f ca="1">IFERROR(__xludf.DUMMYFUNCTION("GOOGLETRANSLATE(A84, ""en"", ""fr"")"),"Gaz acide")</f>
        <v>Gaz acide</v>
      </c>
      <c r="EL84" s="1" t="s">
        <v>139</v>
      </c>
    </row>
    <row r="85" spans="1:142" ht="14.25" customHeight="1" x14ac:dyDescent="0.3">
      <c r="A85" s="1" t="s">
        <v>227</v>
      </c>
      <c r="B85" s="1" t="str">
        <f ca="1">IFERROR(__xludf.DUMMYFUNCTION("GOOGLETRANSLATE(A85, ""en"", ""fr"")"),"Stimulation acide")</f>
        <v>Stimulation acide</v>
      </c>
      <c r="E85" s="1" t="s">
        <v>3</v>
      </c>
    </row>
    <row r="86" spans="1:142" ht="14.25" customHeight="1" x14ac:dyDescent="0.3">
      <c r="A86" s="1" t="s">
        <v>228</v>
      </c>
      <c r="B86" s="1" t="str">
        <f ca="1">IFERROR(__xludf.DUMMYFUNCTION("GOOGLETRANSLATE(A86, ""en"", ""fr"")"),"Ratio de test acide")</f>
        <v>Ratio de test acide</v>
      </c>
      <c r="CR86" s="1" t="s">
        <v>93</v>
      </c>
    </row>
    <row r="87" spans="1:142" ht="14.25" customHeight="1" x14ac:dyDescent="0.3">
      <c r="A87" s="1" t="s">
        <v>229</v>
      </c>
      <c r="B87" s="1" t="str">
        <f ca="1">IFERROR(__xludf.DUMMYFUNCTION("GOOGLETRANSLATE(A87, ""en"", ""fr"")"),"Journal acoustique")</f>
        <v>Journal acoustique</v>
      </c>
      <c r="E87" s="1" t="s">
        <v>3</v>
      </c>
    </row>
    <row r="88" spans="1:142" ht="14.25" customHeight="1" x14ac:dyDescent="0.3">
      <c r="A88" s="1" t="s">
        <v>230</v>
      </c>
      <c r="B88" s="1" t="str">
        <f ca="1">IFERROR(__xludf.DUMMYFUNCTION("GOOGLETRANSLATE(A88, ""en"", ""fr"")"),"ACQUIESCER")</f>
        <v>ACQUIESCER</v>
      </c>
      <c r="D88" s="1" t="s">
        <v>4963</v>
      </c>
    </row>
    <row r="89" spans="1:142" ht="14.25" customHeight="1" x14ac:dyDescent="0.3">
      <c r="A89" s="1" t="s">
        <v>231</v>
      </c>
      <c r="B89" s="1" t="str">
        <f ca="1">IFERROR(__xludf.DUMMYFUNCTION("GOOGLETRANSLATE(A89, ""en"", ""fr"")"),"Accéléré")</f>
        <v>Accéléré</v>
      </c>
      <c r="D89" s="1" t="s">
        <v>4963</v>
      </c>
    </row>
    <row r="90" spans="1:142" ht="14.25" customHeight="1" x14ac:dyDescent="0.3">
      <c r="A90" s="1" t="s">
        <v>232</v>
      </c>
      <c r="B90" s="1" t="str">
        <f ca="1">IFERROR(__xludf.DUMMYFUNCTION("GOOGLETRANSLATE(A90, ""en"", ""fr"")"),"Acquiescement")</f>
        <v>Acquiescement</v>
      </c>
      <c r="D90" s="1" t="s">
        <v>4963</v>
      </c>
    </row>
    <row r="91" spans="1:142" ht="14.25" customHeight="1" x14ac:dyDescent="0.3">
      <c r="A91" s="1" t="s">
        <v>233</v>
      </c>
      <c r="B91" s="1" t="str">
        <f ca="1">IFERROR(__xludf.DUMMYFUNCTION("GOOGLETRANSLATE(A91, ""en"", ""fr"")"),"Acquiescement")</f>
        <v>Acquiescement</v>
      </c>
      <c r="D91" s="1" t="s">
        <v>4963</v>
      </c>
    </row>
    <row r="92" spans="1:142" ht="14.25" customHeight="1" x14ac:dyDescent="0.3">
      <c r="A92" s="1" t="s">
        <v>234</v>
      </c>
      <c r="B92" s="1" t="str">
        <f ca="1">IFERROR(__xludf.DUMMYFUNCTION("GOOGLETRANSLATE(A92, ""en"", ""fr"")"),"coût d'acquisition")</f>
        <v>coût d'acquisition</v>
      </c>
      <c r="CR92" s="1" t="s">
        <v>93</v>
      </c>
    </row>
    <row r="93" spans="1:142" ht="14.25" customHeight="1" x14ac:dyDescent="0.3">
      <c r="A93" s="1" t="s">
        <v>235</v>
      </c>
      <c r="B93" s="1" t="str">
        <f ca="1">IFERROR(__xludf.DUMMYFUNCTION("GOOGLETRANSLATE(A93, ""en"", ""fr"")"),"ACQUITTER")</f>
        <v>ACQUITTER</v>
      </c>
      <c r="D93" s="1" t="s">
        <v>4963</v>
      </c>
    </row>
    <row r="94" spans="1:142" ht="14.25" customHeight="1" x14ac:dyDescent="0.3">
      <c r="A94" s="1" t="s">
        <v>236</v>
      </c>
      <c r="B94" s="1" t="str">
        <f ca="1">IFERROR(__xludf.DUMMYFUNCTION("GOOGLETRANSLATE(A94, ""en"", ""fr"")"),"Acquis")</f>
        <v>Acquis</v>
      </c>
      <c r="D94" s="1" t="s">
        <v>4963</v>
      </c>
    </row>
    <row r="95" spans="1:142" ht="14.25" customHeight="1" x14ac:dyDescent="0.3">
      <c r="A95" s="1" t="s">
        <v>237</v>
      </c>
      <c r="B95" s="1" t="str">
        <f ca="1">IFERROR(__xludf.DUMMYFUNCTION("GOOGLETRANSLATE(A95, ""en"", ""fr"")"),"ACQUITTEMENT")</f>
        <v>ACQUITTEMENT</v>
      </c>
      <c r="D95" s="1" t="s">
        <v>4963</v>
      </c>
    </row>
    <row r="96" spans="1:142" ht="14.25" customHeight="1" x14ac:dyDescent="0.3">
      <c r="A96" s="1" t="s">
        <v>238</v>
      </c>
      <c r="B96" s="1" t="str">
        <f ca="1">IFERROR(__xludf.DUMMYFUNCTION("GOOGLETRANSLATE(A96, ""en"", ""fr"")"),"Acquittements")</f>
        <v>Acquittements</v>
      </c>
      <c r="D96" s="1" t="s">
        <v>4963</v>
      </c>
    </row>
    <row r="97" spans="1:96" ht="14.25" customHeight="1" x14ac:dyDescent="0.3">
      <c r="A97" s="1" t="s">
        <v>239</v>
      </c>
      <c r="B97" s="1" t="str">
        <f ca="1">IFERROR(__xludf.DUMMYFUNCTION("GOOGLETRANSLATE(A97, ""en"", ""fr"")"),"Acquitté")</f>
        <v>Acquitté</v>
      </c>
      <c r="D97" s="1" t="s">
        <v>4963</v>
      </c>
    </row>
    <row r="98" spans="1:96" ht="14.25" customHeight="1" x14ac:dyDescent="0.3">
      <c r="A98" s="1" t="s">
        <v>240</v>
      </c>
      <c r="B98" s="1" t="str">
        <f ca="1">IFERROR(__xludf.DUMMYFUNCTION("GOOGLETRANSLATE(A98, ""en"", ""fr"")"),"Acquitté")</f>
        <v>Acquitté</v>
      </c>
      <c r="D98" s="1" t="s">
        <v>4963</v>
      </c>
    </row>
    <row r="99" spans="1:96" ht="14.25" customHeight="1" x14ac:dyDescent="0.3">
      <c r="A99" s="1" t="s">
        <v>241</v>
      </c>
      <c r="B99" s="1" t="str">
        <f ca="1">IFERROR(__xludf.DUMMYFUNCTION("GOOGLETRANSLATE(A99, ""en"", ""fr"")"),"réels")</f>
        <v>réels</v>
      </c>
      <c r="CR99" s="1" t="s">
        <v>93</v>
      </c>
    </row>
    <row r="100" spans="1:96" ht="14.25" customHeight="1" x14ac:dyDescent="0.3">
      <c r="A100" s="1" t="s">
        <v>242</v>
      </c>
      <c r="B100" s="1" t="str">
        <f ca="1">IFERROR(__xludf.DUMMYFUNCTION("GOOGLETRANSLATE(A100, ""en"", ""fr"")"),"évaluation actuarielle")</f>
        <v>évaluation actuarielle</v>
      </c>
      <c r="M100" s="1" t="s">
        <v>10</v>
      </c>
    </row>
    <row r="101" spans="1:96" ht="14.25" customHeight="1" x14ac:dyDescent="0.3">
      <c r="A101" s="1" t="s">
        <v>243</v>
      </c>
      <c r="B101" s="1" t="str">
        <f ca="1">IFERROR(__xludf.DUMMYFUNCTION("GOOGLETRANSLATE(A101, ""en"", ""fr"")"),"prime d'émission")</f>
        <v>prime d'émission</v>
      </c>
      <c r="CR101" s="1" t="s">
        <v>93</v>
      </c>
    </row>
    <row r="102" spans="1:96" ht="14.25" customHeight="1" x14ac:dyDescent="0.3">
      <c r="A102" s="1" t="s">
        <v>244</v>
      </c>
      <c r="B102" s="1" t="str">
        <f ca="1">IFERROR(__xludf.DUMMYFUNCTION("GOOGLETRANSLATE(A102, ""en"", ""fr"")"),"Additif")</f>
        <v>Additif</v>
      </c>
      <c r="E102" s="1" t="s">
        <v>3</v>
      </c>
    </row>
    <row r="103" spans="1:96" ht="14.25" customHeight="1" x14ac:dyDescent="0.3">
      <c r="A103" s="1" t="s">
        <v>245</v>
      </c>
      <c r="B103" s="1" t="str">
        <f ca="1">IFERROR(__xludf.DUMMYFUNCTION("GOOGLETRANSLATE(A103, ""en"", ""fr"")"),"Adéquatement")</f>
        <v>Adéquatement</v>
      </c>
      <c r="H103" s="1" t="s">
        <v>4964</v>
      </c>
    </row>
    <row r="104" spans="1:96" ht="14.25" customHeight="1" x14ac:dyDescent="0.3">
      <c r="A104" s="1" t="s">
        <v>246</v>
      </c>
      <c r="B104" s="1" t="str">
        <f ca="1">IFERROR(__xludf.DUMMYFUNCTION("GOOGLETRANSLATE(A104, ""en"", ""fr"")"),"FALSIFIER")</f>
        <v>FALSIFIER</v>
      </c>
      <c r="D104" s="1" t="s">
        <v>4963</v>
      </c>
    </row>
    <row r="105" spans="1:96" ht="14.25" customHeight="1" x14ac:dyDescent="0.3">
      <c r="A105" s="1" t="s">
        <v>247</v>
      </c>
      <c r="B105" s="1" t="str">
        <f ca="1">IFERROR(__xludf.DUMMYFUNCTION("GOOGLETRANSLATE(A105, ""en"", ""fr"")"),"Falsifié")</f>
        <v>Falsifié</v>
      </c>
      <c r="D105" s="1" t="s">
        <v>4963</v>
      </c>
    </row>
    <row r="106" spans="1:96" ht="14.25" customHeight="1" x14ac:dyDescent="0.3">
      <c r="A106" s="1" t="s">
        <v>248</v>
      </c>
      <c r="B106" s="1" t="str">
        <f ca="1">IFERROR(__xludf.DUMMYFUNCTION("GOOGLETRANSLATE(A106, ""en"", ""fr"")"),"Fascinant")</f>
        <v>Fascinant</v>
      </c>
      <c r="D106" s="1" t="s">
        <v>4963</v>
      </c>
    </row>
    <row r="107" spans="1:96" ht="14.25" customHeight="1" x14ac:dyDescent="0.3">
      <c r="A107" s="1" t="s">
        <v>249</v>
      </c>
      <c r="B107" s="1" t="str">
        <f ca="1">IFERROR(__xludf.DUMMYFUNCTION("GOOGLETRANSLATE(A107, ""en"", ""fr"")"),"FALSIFICATION")</f>
        <v>FALSIFICATION</v>
      </c>
      <c r="D107" s="1" t="s">
        <v>4963</v>
      </c>
    </row>
    <row r="108" spans="1:96" ht="14.25" customHeight="1" x14ac:dyDescent="0.3">
      <c r="A108" s="1" t="s">
        <v>250</v>
      </c>
      <c r="B108" s="1" t="str">
        <f ca="1">IFERROR(__xludf.DUMMYFUNCTION("GOOGLETRANSLATE(A108, ""en"", ""fr"")"),"Falsification")</f>
        <v>Falsification</v>
      </c>
      <c r="D108" s="1" t="s">
        <v>4963</v>
      </c>
    </row>
    <row r="109" spans="1:96" ht="14.25" customHeight="1" x14ac:dyDescent="0.3">
      <c r="A109" s="1" t="s">
        <v>251</v>
      </c>
      <c r="B109" s="1" t="str">
        <f ca="1">IFERROR(__xludf.DUMMYFUNCTION("GOOGLETRANSLATE(A109, ""en"", ""fr"")"),"AVANCEMENT")</f>
        <v>AVANCEMENT</v>
      </c>
      <c r="H109" s="1" t="s">
        <v>4964</v>
      </c>
    </row>
    <row r="110" spans="1:96" ht="14.25" customHeight="1" x14ac:dyDescent="0.3">
      <c r="A110" s="1" t="s">
        <v>252</v>
      </c>
      <c r="B110" s="1" t="str">
        <f ca="1">IFERROR(__xludf.DUMMYFUNCTION("GOOGLETRANSLATE(A110, ""en"", ""fr"")"),"Progrès")</f>
        <v>Progrès</v>
      </c>
      <c r="H110" s="1" t="s">
        <v>4964</v>
      </c>
    </row>
    <row r="111" spans="1:96" ht="14.25" customHeight="1" x14ac:dyDescent="0.3">
      <c r="A111" s="1" t="s">
        <v>253</v>
      </c>
      <c r="B111" s="1" t="str">
        <f ca="1">IFERROR(__xludf.DUMMYFUNCTION("GOOGLETRANSLATE(A111, ""en"", ""fr"")"),"AVANCES")</f>
        <v>AVANCES</v>
      </c>
      <c r="H111" s="1" t="s">
        <v>4964</v>
      </c>
    </row>
    <row r="112" spans="1:96" ht="14.25" customHeight="1" x14ac:dyDescent="0.3">
      <c r="A112" s="1" t="s">
        <v>254</v>
      </c>
      <c r="B112" s="1" t="str">
        <f ca="1">IFERROR(__xludf.DUMMYFUNCTION("GOOGLETRANSLATE(A112, ""en"", ""fr"")"),"Avance")</f>
        <v>Avance</v>
      </c>
      <c r="H112" s="1" t="s">
        <v>4964</v>
      </c>
    </row>
    <row r="113" spans="1:51" ht="14.25" customHeight="1" x14ac:dyDescent="0.3">
      <c r="A113" s="1" t="s">
        <v>255</v>
      </c>
      <c r="B113" s="1" t="str">
        <f ca="1">IFERROR(__xludf.DUMMYFUNCTION("GOOGLETRANSLATE(A113, ""en"", ""fr"")"),"AVANTAGE")</f>
        <v>AVANTAGE</v>
      </c>
      <c r="H113" s="1" t="s">
        <v>4964</v>
      </c>
    </row>
    <row r="114" spans="1:51" ht="14.25" customHeight="1" x14ac:dyDescent="0.3">
      <c r="A114" s="1" t="s">
        <v>256</v>
      </c>
      <c r="B114" s="1" t="str">
        <f ca="1">IFERROR(__xludf.DUMMYFUNCTION("GOOGLETRANSLATE(A114, ""en"", ""fr"")"),"Avantageux")</f>
        <v>Avantageux</v>
      </c>
      <c r="H114" s="1" t="s">
        <v>4964</v>
      </c>
    </row>
    <row r="115" spans="1:51" ht="14.25" customHeight="1" x14ac:dyDescent="0.3">
      <c r="A115" s="1" t="s">
        <v>257</v>
      </c>
      <c r="B115" s="1" t="str">
        <f ca="1">IFERROR(__xludf.DUMMYFUNCTION("GOOGLETRANSLATE(A115, ""en"", ""fr"")"),"AVANTAGEUX")</f>
        <v>AVANTAGEUX</v>
      </c>
      <c r="H115" s="1" t="s">
        <v>4964</v>
      </c>
    </row>
    <row r="116" spans="1:51" ht="14.25" customHeight="1" x14ac:dyDescent="0.3">
      <c r="A116" s="1" t="s">
        <v>258</v>
      </c>
      <c r="B116" s="1" t="str">
        <f ca="1">IFERROR(__xludf.DUMMYFUNCTION("GOOGLETRANSLATE(A116, ""en"", ""fr"")"),"Avantageusement")</f>
        <v>Avantageusement</v>
      </c>
      <c r="H116" s="1" t="s">
        <v>4964</v>
      </c>
    </row>
    <row r="117" spans="1:51" ht="14.25" customHeight="1" x14ac:dyDescent="0.3">
      <c r="A117" s="1" t="s">
        <v>259</v>
      </c>
      <c r="B117" s="1" t="str">
        <f ca="1">IFERROR(__xludf.DUMMYFUNCTION("GOOGLETRANSLATE(A117, ""en"", ""fr"")"),"Avantages")</f>
        <v>Avantages</v>
      </c>
      <c r="H117" s="1" t="s">
        <v>4964</v>
      </c>
    </row>
    <row r="118" spans="1:51" ht="14.25" customHeight="1" x14ac:dyDescent="0.3">
      <c r="A118" s="1" t="s">
        <v>260</v>
      </c>
      <c r="B118" s="1" t="str">
        <f ca="1">IFERROR(__xludf.DUMMYFUNCTION("GOOGLETRANSLATE(A118, ""en"", ""fr"")"),"Contradictoire")</f>
        <v>Contradictoire</v>
      </c>
      <c r="D118" s="1" t="s">
        <v>4963</v>
      </c>
    </row>
    <row r="119" spans="1:51" ht="14.25" customHeight="1" x14ac:dyDescent="0.3">
      <c r="A119" s="1" t="s">
        <v>261</v>
      </c>
      <c r="B119" s="1" t="str">
        <f ca="1">IFERROR(__xludf.DUMMYFUNCTION("GOOGLETRANSLATE(A119, ""en"", ""fr"")"),"Adversaires")</f>
        <v>Adversaires</v>
      </c>
      <c r="D119" s="1" t="s">
        <v>4963</v>
      </c>
    </row>
    <row r="120" spans="1:51" ht="14.25" customHeight="1" x14ac:dyDescent="0.3">
      <c r="A120" s="1" t="s">
        <v>262</v>
      </c>
      <c r="B120" s="1" t="str">
        <f ca="1">IFERROR(__xludf.DUMMYFUNCTION("GOOGLETRANSLATE(A120, ""en"", ""fr"")"),"ADVERSAIRE")</f>
        <v>ADVERSAIRE</v>
      </c>
      <c r="D120" s="1" t="s">
        <v>4963</v>
      </c>
    </row>
    <row r="121" spans="1:51" ht="14.25" customHeight="1" x14ac:dyDescent="0.3">
      <c r="A121" s="1" t="s">
        <v>263</v>
      </c>
      <c r="B121" s="1" t="str">
        <f ca="1">IFERROR(__xludf.DUMMYFUNCTION("GOOGLETRANSLATE(A121, ""en"", ""fr"")"),"NÉGATIF")</f>
        <v>NÉGATIF</v>
      </c>
      <c r="D121" s="1" t="s">
        <v>4963</v>
      </c>
    </row>
    <row r="122" spans="1:51" ht="14.25" customHeight="1" x14ac:dyDescent="0.3">
      <c r="A122" s="1" t="s">
        <v>264</v>
      </c>
      <c r="B122" s="1" t="str">
        <f ca="1">IFERROR(__xludf.DUMMYFUNCTION("GOOGLETRANSLATE(A122, ""en"", ""fr"")"),"Défavorable")</f>
        <v>Défavorable</v>
      </c>
      <c r="D122" s="1" t="s">
        <v>4963</v>
      </c>
    </row>
    <row r="123" spans="1:51" ht="14.25" customHeight="1" x14ac:dyDescent="0.3">
      <c r="A123" s="1" t="s">
        <v>265</v>
      </c>
      <c r="B123" s="1" t="str">
        <f ca="1">IFERROR(__xludf.DUMMYFUNCTION("GOOGLETRANSLATE(A123, ""en"", ""fr"")"),"Adversités")</f>
        <v>Adversités</v>
      </c>
      <c r="D123" s="1" t="s">
        <v>4963</v>
      </c>
    </row>
    <row r="124" spans="1:51" ht="14.25" customHeight="1" x14ac:dyDescent="0.3">
      <c r="A124" s="1" t="s">
        <v>266</v>
      </c>
      <c r="B124" s="1" t="str">
        <f ca="1">IFERROR(__xludf.DUMMYFUNCTION("GOOGLETRANSLATE(A124, ""en"", ""fr"")"),"ADVERSITÉ")</f>
        <v>ADVERSITÉ</v>
      </c>
      <c r="D124" s="1" t="s">
        <v>4963</v>
      </c>
    </row>
    <row r="125" spans="1:51" ht="14.25" customHeight="1" x14ac:dyDescent="0.3">
      <c r="A125" s="1" t="s">
        <v>267</v>
      </c>
      <c r="B125" s="1" t="str">
        <f ca="1">IFERROR(__xludf.DUMMYFUNCTION("GOOGLETRANSLATE(A125, ""en"", ""fr"")"),"Enquêtes magnétiques aérodynamiques")</f>
        <v>Enquêtes magnétiques aérodynamiques</v>
      </c>
      <c r="AY125" s="1" t="s">
        <v>48</v>
      </c>
    </row>
    <row r="126" spans="1:51" ht="14.25" customHeight="1" x14ac:dyDescent="0.3">
      <c r="A126" s="1" t="s">
        <v>268</v>
      </c>
      <c r="B126" s="1" t="str">
        <f ca="1">IFERROR(__xludf.DUMMYFUNCTION("GOOGLETRANSLATE(A126, ""en"", ""fr"")"),"chaînes affiliées")</f>
        <v>chaînes affiliées</v>
      </c>
      <c r="M126" s="1" t="s">
        <v>10</v>
      </c>
    </row>
    <row r="127" spans="1:51" ht="14.25" customHeight="1" x14ac:dyDescent="0.3">
      <c r="A127" s="1" t="s">
        <v>269</v>
      </c>
      <c r="B127" s="1" t="str">
        <f ca="1">IFERROR(__xludf.DUMMYFUNCTION("GOOGLETRANSLATE(A127, ""en"", ""fr"")"),"grossistes affiliés")</f>
        <v>grossistes affiliés</v>
      </c>
      <c r="M127" s="1" t="s">
        <v>10</v>
      </c>
    </row>
    <row r="128" spans="1:51" ht="14.25" customHeight="1" x14ac:dyDescent="0.3">
      <c r="A128" s="1" t="s">
        <v>270</v>
      </c>
      <c r="B128" s="1" t="str">
        <f ca="1">IFERROR(__xludf.DUMMYFUNCTION("GOOGLETRANSLATE(A128, ""en"", ""fr"")"),"après")</f>
        <v>après</v>
      </c>
      <c r="J128" s="1" t="s">
        <v>7</v>
      </c>
    </row>
    <row r="129" spans="1:145" ht="14.25" customHeight="1" x14ac:dyDescent="0.3">
      <c r="A129" s="1" t="s">
        <v>271</v>
      </c>
      <c r="B129" s="1" t="str">
        <f ca="1">IFERROR(__xludf.DUMMYFUNCTION("GOOGLETRANSLATE(A129, ""en"", ""fr"")"),"après le revenu fiscal")</f>
        <v>après le revenu fiscal</v>
      </c>
      <c r="CR129" s="1" t="s">
        <v>93</v>
      </c>
    </row>
    <row r="130" spans="1:145" ht="14.25" customHeight="1" x14ac:dyDescent="0.3">
      <c r="A130" s="1" t="s">
        <v>272</v>
      </c>
      <c r="B130" s="1" t="str">
        <f ca="1">IFERROR(__xludf.DUMMYFUNCTION("GOOGLETRANSLATE(A130, ""en"", ""fr"")"),"CONSÉQUENCES")</f>
        <v>CONSÉQUENCES</v>
      </c>
      <c r="D130" s="1" t="s">
        <v>4963</v>
      </c>
    </row>
    <row r="131" spans="1:145" ht="14.25" customHeight="1" x14ac:dyDescent="0.3">
      <c r="A131" s="1" t="s">
        <v>273</v>
      </c>
      <c r="B131" s="1" t="str">
        <f ca="1">IFERROR(__xludf.DUMMYFUNCTION("GOOGLETRANSLATE(A131, ""en"", ""fr"")"),"Après-midi")</f>
        <v>Après-midi</v>
      </c>
      <c r="D131" s="1" t="s">
        <v>4963</v>
      </c>
    </row>
    <row r="132" spans="1:145" ht="14.25" customHeight="1" x14ac:dyDescent="0.3">
      <c r="A132" s="1" t="s">
        <v>274</v>
      </c>
      <c r="B132" s="1" t="str">
        <f ca="1">IFERROR(__xludf.DUMMYFUNCTION("GOOGLETRANSLATE(A132, ""en"", ""fr"")"),"CONTRE")</f>
        <v>CONTRE</v>
      </c>
      <c r="D132" s="1" t="s">
        <v>4963</v>
      </c>
    </row>
    <row r="133" spans="1:145" ht="14.25" customHeight="1" x14ac:dyDescent="0.3">
      <c r="A133" s="1" t="s">
        <v>275</v>
      </c>
      <c r="B133" s="1" t="str">
        <f ca="1">IFERROR(__xludf.DUMMYFUNCTION("GOOGLETRANSLATE(A133, ""en"", ""fr"")"),"agbami")</f>
        <v>agbami</v>
      </c>
      <c r="DD133" s="1" t="s">
        <v>105</v>
      </c>
      <c r="EA133" s="1" t="s">
        <v>128</v>
      </c>
      <c r="EO133" s="1" t="s">
        <v>142</v>
      </c>
    </row>
    <row r="134" spans="1:145" ht="14.25" customHeight="1" x14ac:dyDescent="0.3">
      <c r="A134" s="1" t="s">
        <v>276</v>
      </c>
      <c r="B134" s="1" t="str">
        <f ca="1">IFERROR(__xludf.DUMMYFUNCTION("GOOGLETRANSLATE(A134, ""en"", ""fr"")"),"théorie de l'agence")</f>
        <v>théorie de l'agence</v>
      </c>
      <c r="M134" s="1" t="s">
        <v>10</v>
      </c>
    </row>
    <row r="135" spans="1:145" ht="14.25" customHeight="1" x14ac:dyDescent="0.3">
      <c r="A135" s="1" t="s">
        <v>277</v>
      </c>
      <c r="B135" s="1" t="str">
        <f ca="1">IFERROR(__xludf.DUMMYFUNCTION("GOOGLETRANSLATE(A135, ""en"", ""fr"")"),"AGGRAVER")</f>
        <v>AGGRAVER</v>
      </c>
      <c r="D135" s="1" t="s">
        <v>4963</v>
      </c>
    </row>
    <row r="136" spans="1:145" ht="14.25" customHeight="1" x14ac:dyDescent="0.3">
      <c r="A136" s="1" t="s">
        <v>278</v>
      </c>
      <c r="B136" s="1" t="str">
        <f ca="1">IFERROR(__xludf.DUMMYFUNCTION("GOOGLETRANSLATE(A136, ""en"", ""fr"")"),"Aggravé")</f>
        <v>Aggravé</v>
      </c>
      <c r="D136" s="1" t="s">
        <v>4963</v>
      </c>
    </row>
    <row r="137" spans="1:145" ht="14.25" customHeight="1" x14ac:dyDescent="0.3">
      <c r="A137" s="1" t="s">
        <v>279</v>
      </c>
      <c r="B137" s="1" t="str">
        <f ca="1">IFERROR(__xludf.DUMMYFUNCTION("GOOGLETRANSLATE(A137, ""en"", ""fr"")"),"Aggraver")</f>
        <v>Aggraver</v>
      </c>
      <c r="D137" s="1" t="s">
        <v>4963</v>
      </c>
    </row>
    <row r="138" spans="1:145" ht="14.25" customHeight="1" x14ac:dyDescent="0.3">
      <c r="A138" s="1" t="s">
        <v>280</v>
      </c>
      <c r="B138" s="1" t="str">
        <f ca="1">IFERROR(__xludf.DUMMYFUNCTION("GOOGLETRANSLATE(A138, ""en"", ""fr"")"),"AGGRAVANT")</f>
        <v>AGGRAVANT</v>
      </c>
      <c r="D138" s="1" t="s">
        <v>4963</v>
      </c>
    </row>
    <row r="139" spans="1:145" ht="14.25" customHeight="1" x14ac:dyDescent="0.3">
      <c r="A139" s="1" t="s">
        <v>281</v>
      </c>
      <c r="B139" s="1" t="str">
        <f ca="1">IFERROR(__xludf.DUMMYFUNCTION("GOOGLETRANSLATE(A139, ""en"", ""fr"")"),"AGGRAVATION")</f>
        <v>AGGRAVATION</v>
      </c>
      <c r="D139" s="1" t="s">
        <v>4963</v>
      </c>
    </row>
    <row r="140" spans="1:145" ht="14.25" customHeight="1" x14ac:dyDescent="0.3">
      <c r="A140" s="1" t="s">
        <v>282</v>
      </c>
      <c r="B140" s="1" t="str">
        <f ca="1">IFERROR(__xludf.DUMMYFUNCTION("GOOGLETRANSLATE(A140, ""en"", ""fr"")"),"Aggravations")</f>
        <v>Aggravations</v>
      </c>
      <c r="D140" s="1" t="s">
        <v>4963</v>
      </c>
    </row>
    <row r="141" spans="1:145" ht="14.25" customHeight="1" x14ac:dyDescent="0.3">
      <c r="A141" s="1" t="s">
        <v>283</v>
      </c>
      <c r="B141" s="1" t="str">
        <f ca="1">IFERROR(__xludf.DUMMYFUNCTION("GOOGLETRANSLATE(A141, ""en"", ""fr"")"),"demande globale")</f>
        <v>demande globale</v>
      </c>
      <c r="M141" s="1" t="s">
        <v>10</v>
      </c>
    </row>
    <row r="142" spans="1:145" ht="14.25" customHeight="1" x14ac:dyDescent="0.3">
      <c r="A142" s="1" t="s">
        <v>284</v>
      </c>
      <c r="B142" s="1" t="str">
        <f ca="1">IFERROR(__xludf.DUMMYFUNCTION("GOOGLETRANSLATE(A142, ""en"", ""fr"")"),"courbe de demande globale")</f>
        <v>courbe de demande globale</v>
      </c>
      <c r="M142" s="1" t="s">
        <v>10</v>
      </c>
    </row>
    <row r="143" spans="1:145" ht="14.25" customHeight="1" x14ac:dyDescent="0.3">
      <c r="A143" s="1" t="s">
        <v>285</v>
      </c>
      <c r="B143" s="1" t="str">
        <f ca="1">IFERROR(__xludf.DUMMYFUNCTION("GOOGLETRANSLATE(A143, ""en"", ""fr"")"),"l'offre globale")</f>
        <v>l'offre globale</v>
      </c>
      <c r="M143" s="1" t="s">
        <v>10</v>
      </c>
    </row>
    <row r="144" spans="1:145" ht="14.25" customHeight="1" x14ac:dyDescent="0.3">
      <c r="A144" s="1" t="s">
        <v>286</v>
      </c>
      <c r="B144" s="1" t="str">
        <f ca="1">IFERROR(__xludf.DUMMYFUNCTION("GOOGLETRANSLATE(A144, ""en"", ""fr"")"),"courbe d'alimentation globale")</f>
        <v>courbe d'alimentation globale</v>
      </c>
      <c r="M144" s="1" t="s">
        <v>10</v>
      </c>
    </row>
    <row r="145" spans="1:136" ht="14.25" customHeight="1" x14ac:dyDescent="0.3">
      <c r="A145" s="1" t="s">
        <v>287</v>
      </c>
      <c r="B145" s="1" t="str">
        <f ca="1">IFERROR(__xludf.DUMMYFUNCTION("GOOGLETRANSLATE(A145, ""en"", ""fr"")"),"Agha Jari")</f>
        <v>Agha Jari</v>
      </c>
      <c r="AU145" s="1" t="s">
        <v>44</v>
      </c>
      <c r="BK145" s="1" t="s">
        <v>60</v>
      </c>
      <c r="DD145" s="1" t="s">
        <v>105</v>
      </c>
    </row>
    <row r="146" spans="1:136" ht="14.25" customHeight="1" x14ac:dyDescent="0.3">
      <c r="A146" s="1" t="s">
        <v>288</v>
      </c>
      <c r="B146" s="1" t="str">
        <f ca="1">IFERROR(__xludf.DUMMYFUNCTION("GOOGLETRANSLATE(A146, ""en"", ""fr"")"),"agoco")</f>
        <v>agoco</v>
      </c>
      <c r="CL146" s="1" t="s">
        <v>87</v>
      </c>
      <c r="CN146" s="1" t="s">
        <v>89</v>
      </c>
      <c r="CW146" s="1" t="s">
        <v>98</v>
      </c>
      <c r="DT146" s="1" t="s">
        <v>121</v>
      </c>
    </row>
    <row r="147" spans="1:136" ht="14.25" customHeight="1" x14ac:dyDescent="0.3">
      <c r="A147" s="1" t="s">
        <v>289</v>
      </c>
      <c r="B147" s="1" t="str">
        <f ca="1">IFERROR(__xludf.DUMMYFUNCTION("GOOGLETRANSLATE(A147, ""en"", ""fr"")"),"devant")</f>
        <v>devant</v>
      </c>
      <c r="J147" s="1" t="s">
        <v>7</v>
      </c>
    </row>
    <row r="148" spans="1:136" ht="14.25" customHeight="1" x14ac:dyDescent="0.3">
      <c r="A148" s="1" t="s">
        <v>290</v>
      </c>
      <c r="B148" s="1" t="str">
        <f ca="1">IFERROR(__xludf.DUMMYFUNCTION("GOOGLETRANSLATE(A148, ""en"", ""fr"")"),"ahvaz")</f>
        <v>ahvaz</v>
      </c>
      <c r="AU148" s="1" t="s">
        <v>44</v>
      </c>
      <c r="BK148" s="1" t="s">
        <v>60</v>
      </c>
      <c r="DD148" s="1" t="s">
        <v>105</v>
      </c>
    </row>
    <row r="149" spans="1:136" ht="14.25" customHeight="1" x14ac:dyDescent="0.3">
      <c r="A149" s="1" t="s">
        <v>291</v>
      </c>
      <c r="B149" s="1" t="str">
        <f ca="1">IFERROR(__xludf.DUMMYFUNCTION("GOOGLETRANSLATE(A149, ""en"", ""fr"")"),"ahwaz")</f>
        <v>ahwaz</v>
      </c>
      <c r="AU149" s="1" t="s">
        <v>44</v>
      </c>
      <c r="BK149" s="1" t="s">
        <v>60</v>
      </c>
      <c r="DD149" s="1" t="s">
        <v>105</v>
      </c>
    </row>
    <row r="150" spans="1:136" ht="14.25" customHeight="1" x14ac:dyDescent="0.3">
      <c r="A150" s="1" t="s">
        <v>292</v>
      </c>
      <c r="B150" s="1" t="str">
        <f ca="1">IFERROR(__xludf.DUMMYFUNCTION("GOOGLETRANSLATE(A150, ""en"", ""fr"")"),"aig")</f>
        <v>aig</v>
      </c>
      <c r="AO150" s="1" t="s">
        <v>38</v>
      </c>
      <c r="CR150" s="1" t="s">
        <v>93</v>
      </c>
      <c r="EF150" s="1" t="s">
        <v>133</v>
      </c>
    </row>
    <row r="151" spans="1:136" ht="14.25" customHeight="1" x14ac:dyDescent="0.3">
      <c r="A151" s="1" t="s">
        <v>293</v>
      </c>
      <c r="B151" s="1" t="str">
        <f ca="1">IFERROR(__xludf.DUMMYFUNCTION("GOOGLETRANSLATE(A151, ""en"", ""fr"")"),"Pistolet à air")</f>
        <v>Pistolet à air</v>
      </c>
      <c r="AY151" s="1" t="s">
        <v>48</v>
      </c>
    </row>
    <row r="152" spans="1:136" ht="14.25" customHeight="1" x14ac:dyDescent="0.3">
      <c r="A152" s="1" t="s">
        <v>294</v>
      </c>
      <c r="B152" s="1" t="str">
        <f ca="1">IFERROR(__xludf.DUMMYFUNCTION("GOOGLETRANSLATE(A152, ""en"", ""fr"")"),"Injection d'air")</f>
        <v>Injection d'air</v>
      </c>
      <c r="E152" s="1" t="s">
        <v>3</v>
      </c>
    </row>
    <row r="153" spans="1:136" ht="14.25" customHeight="1" x14ac:dyDescent="0.3">
      <c r="A153" s="1" t="s">
        <v>295</v>
      </c>
      <c r="B153" s="1" t="str">
        <f ca="1">IFERROR(__xludf.DUMMYFUNCTION("GOOGLETRANSLATE(A153, ""en"", ""fr"")"),"Aktobe")</f>
        <v>Aktobe</v>
      </c>
      <c r="R153" s="1" t="s">
        <v>15</v>
      </c>
      <c r="CS153" s="1" t="s">
        <v>94</v>
      </c>
    </row>
    <row r="154" spans="1:136" ht="14.25" customHeight="1" x14ac:dyDescent="0.3">
      <c r="A154" s="1" t="s">
        <v>296</v>
      </c>
      <c r="B154" s="1" t="str">
        <f ca="1">IFERROR(__xludf.DUMMYFUNCTION("GOOGLETRANSLATE(A154, ""en"", ""fr"")"),"Al")</f>
        <v>Al</v>
      </c>
      <c r="J154" s="1" t="s">
        <v>7</v>
      </c>
    </row>
    <row r="155" spans="1:136" ht="14.25" customHeight="1" x14ac:dyDescent="0.3">
      <c r="A155" s="1" t="s">
        <v>297</v>
      </c>
      <c r="B155" s="1" t="str">
        <f ca="1">IFERROR(__xludf.DUMMYFUNCTION("GOOGLETRANSLATE(A155, ""en"", ""fr"")"),"Al Shaheen")</f>
        <v>Al Shaheen</v>
      </c>
      <c r="R155" s="1" t="s">
        <v>15</v>
      </c>
      <c r="CS155" s="1" t="s">
        <v>94</v>
      </c>
    </row>
    <row r="156" spans="1:136" ht="14.25" customHeight="1" x14ac:dyDescent="0.3">
      <c r="A156" s="1" t="s">
        <v>298</v>
      </c>
      <c r="B156" s="1" t="str">
        <f ca="1">IFERROR(__xludf.DUMMYFUNCTION("GOOGLETRANSLATE(A156, ""en"", ""fr"")"),"Alan Greenspan")</f>
        <v>Alan Greenspan</v>
      </c>
      <c r="M156" s="1" t="s">
        <v>10</v>
      </c>
    </row>
    <row r="157" spans="1:136" ht="14.25" customHeight="1" x14ac:dyDescent="0.3">
      <c r="A157" s="1" t="s">
        <v>299</v>
      </c>
      <c r="B157" s="1" t="str">
        <f ca="1">IFERROR(__xludf.DUMMYFUNCTION("GOOGLETRANSLATE(A157, ""en"", ""fr"")"),"Slope nord de l'Alaska")</f>
        <v>Slope nord de l'Alaska</v>
      </c>
      <c r="R157" s="1" t="s">
        <v>15</v>
      </c>
      <c r="CS157" s="1" t="s">
        <v>94</v>
      </c>
    </row>
    <row r="158" spans="1:136" ht="14.25" customHeight="1" x14ac:dyDescent="0.3">
      <c r="A158" s="1" t="s">
        <v>300</v>
      </c>
      <c r="B158" s="1" t="str">
        <f ca="1">IFERROR(__xludf.DUMMYFUNCTION("GOOGLETRANSLATE(A158, ""en"", ""fr"")"),"Alba")</f>
        <v>Alba</v>
      </c>
      <c r="R158" s="1" t="s">
        <v>15</v>
      </c>
      <c r="CS158" s="1" t="s">
        <v>94</v>
      </c>
    </row>
    <row r="159" spans="1:136" ht="14.25" customHeight="1" x14ac:dyDescent="0.3">
      <c r="A159" s="1" t="s">
        <v>301</v>
      </c>
      <c r="B159" s="1" t="str">
        <f ca="1">IFERROR(__xludf.DUMMYFUNCTION("GOOGLETRANSLATE(A159, ""en"", ""fr"")"),"Albien lourd")</f>
        <v>Albien lourd</v>
      </c>
      <c r="R159" s="1" t="s">
        <v>15</v>
      </c>
      <c r="CS159" s="1" t="s">
        <v>94</v>
      </c>
    </row>
    <row r="160" spans="1:136" ht="14.25" customHeight="1" x14ac:dyDescent="0.3">
      <c r="A160" s="1" t="s">
        <v>302</v>
      </c>
      <c r="B160" s="1" t="str">
        <f ca="1">IFERROR(__xludf.DUMMYFUNCTION("GOOGLETRANSLATE(A160, ""en"", ""fr"")"),"Alerté")</f>
        <v>Alerté</v>
      </c>
      <c r="D160" s="1" t="s">
        <v>4963</v>
      </c>
    </row>
    <row r="161" spans="1:97" ht="14.25" customHeight="1" x14ac:dyDescent="0.3">
      <c r="A161" s="1" t="s">
        <v>303</v>
      </c>
      <c r="B161" s="1" t="str">
        <f ca="1">IFERROR(__xludf.DUMMYFUNCTION("GOOGLETRANSLATE(A161, ""en"", ""fr"")"),"Alerte")</f>
        <v>Alerte</v>
      </c>
      <c r="D161" s="1" t="s">
        <v>4963</v>
      </c>
    </row>
    <row r="162" spans="1:97" ht="14.25" customHeight="1" x14ac:dyDescent="0.3">
      <c r="A162" s="1" t="s">
        <v>304</v>
      </c>
      <c r="B162" s="1" t="str">
        <f ca="1">IFERROR(__xludf.DUMMYFUNCTION("GOOGLETRANSLATE(A162, ""en"", ""fr"")"),"Condensat algérien")</f>
        <v>Condensat algérien</v>
      </c>
      <c r="R162" s="1" t="s">
        <v>15</v>
      </c>
      <c r="CS162" s="1" t="s">
        <v>94</v>
      </c>
    </row>
    <row r="163" spans="1:97" ht="14.25" customHeight="1" x14ac:dyDescent="0.3">
      <c r="A163" s="1" t="s">
        <v>305</v>
      </c>
      <c r="B163" s="1" t="str">
        <f ca="1">IFERROR(__xludf.DUMMYFUNCTION("GOOGLETRANSLATE(A163, ""en"", ""fr"")"),"ALIÉNER")</f>
        <v>ALIÉNER</v>
      </c>
      <c r="D163" s="1" t="s">
        <v>4963</v>
      </c>
    </row>
    <row r="164" spans="1:97" ht="14.25" customHeight="1" x14ac:dyDescent="0.3">
      <c r="A164" s="1" t="s">
        <v>306</v>
      </c>
      <c r="B164" s="1" t="str">
        <f ca="1">IFERROR(__xludf.DUMMYFUNCTION("GOOGLETRANSLATE(A164, ""en"", ""fr"")"),"Aliéné")</f>
        <v>Aliéné</v>
      </c>
      <c r="D164" s="1" t="s">
        <v>4963</v>
      </c>
    </row>
    <row r="165" spans="1:97" ht="14.25" customHeight="1" x14ac:dyDescent="0.3">
      <c r="A165" s="1" t="s">
        <v>307</v>
      </c>
      <c r="B165" s="1" t="str">
        <f ca="1">IFERROR(__xludf.DUMMYFUNCTION("GOOGLETRANSLATE(A165, ""en"", ""fr"")"),"Aliéner")</f>
        <v>Aliéner</v>
      </c>
      <c r="D165" s="1" t="s">
        <v>4963</v>
      </c>
    </row>
    <row r="166" spans="1:97" ht="14.25" customHeight="1" x14ac:dyDescent="0.3">
      <c r="A166" s="1" t="s">
        <v>308</v>
      </c>
      <c r="B166" s="1" t="str">
        <f ca="1">IFERROR(__xludf.DUMMYFUNCTION("GOOGLETRANSLATE(A166, ""en"", ""fr"")"),"Aliénant")</f>
        <v>Aliénant</v>
      </c>
      <c r="D166" s="1" t="s">
        <v>4963</v>
      </c>
    </row>
    <row r="167" spans="1:97" ht="14.25" customHeight="1" x14ac:dyDescent="0.3">
      <c r="A167" s="1" t="s">
        <v>309</v>
      </c>
      <c r="B167" s="1" t="str">
        <f ca="1">IFERROR(__xludf.DUMMYFUNCTION("GOOGLETRANSLATE(A167, ""en"", ""fr"")"),"ALIÉNATION")</f>
        <v>ALIÉNATION</v>
      </c>
      <c r="D167" s="1" t="s">
        <v>4963</v>
      </c>
    </row>
    <row r="168" spans="1:97" ht="14.25" customHeight="1" x14ac:dyDescent="0.3">
      <c r="A168" s="1" t="s">
        <v>310</v>
      </c>
      <c r="B168" s="1" t="str">
        <f ca="1">IFERROR(__xludf.DUMMYFUNCTION("GOOGLETRANSLATE(A168, ""en"", ""fr"")"),"Alienations")</f>
        <v>Alienations</v>
      </c>
      <c r="D168" s="1" t="s">
        <v>4963</v>
      </c>
    </row>
    <row r="169" spans="1:97" ht="14.25" customHeight="1" x14ac:dyDescent="0.3">
      <c r="A169" s="1" t="s">
        <v>311</v>
      </c>
      <c r="B169" s="1" t="str">
        <f ca="1">IFERROR(__xludf.DUMMYFUNCTION("GOOGLETRANSLATE(A169, ""en"", ""fr"")"),"Al-jurf")</f>
        <v>Al-jurf</v>
      </c>
      <c r="R169" s="1" t="s">
        <v>15</v>
      </c>
      <c r="CS169" s="1" t="s">
        <v>94</v>
      </c>
    </row>
    <row r="170" spans="1:97" ht="14.25" customHeight="1" x14ac:dyDescent="0.3">
      <c r="A170" s="1" t="s">
        <v>312</v>
      </c>
      <c r="B170" s="1" t="str">
        <f ca="1">IFERROR(__xludf.DUMMYFUNCTION("GOOGLETRANSLATE(A170, ""en"", ""fr"")"),"tous")</f>
        <v>tous</v>
      </c>
      <c r="J170" s="1" t="s">
        <v>7</v>
      </c>
    </row>
    <row r="171" spans="1:97" ht="14.25" customHeight="1" x14ac:dyDescent="0.3">
      <c r="A171" s="1" t="s">
        <v>313</v>
      </c>
      <c r="B171" s="1" t="str">
        <f ca="1">IFERROR(__xludf.DUMMYFUNCTION("GOOGLETRANSLATE(A171, ""en"", ""fr"")"),"ALLÉGATION")</f>
        <v>ALLÉGATION</v>
      </c>
      <c r="D171" s="1" t="s">
        <v>4963</v>
      </c>
    </row>
    <row r="172" spans="1:97" ht="14.25" customHeight="1" x14ac:dyDescent="0.3">
      <c r="A172" s="1" t="s">
        <v>314</v>
      </c>
      <c r="B172" s="1" t="str">
        <f ca="1">IFERROR(__xludf.DUMMYFUNCTION("GOOGLETRANSLATE(A172, ""en"", ""fr"")"),"Allégations")</f>
        <v>Allégations</v>
      </c>
      <c r="D172" s="1" t="s">
        <v>4963</v>
      </c>
    </row>
    <row r="173" spans="1:97" ht="14.25" customHeight="1" x14ac:dyDescent="0.3">
      <c r="A173" s="1" t="s">
        <v>315</v>
      </c>
      <c r="B173" s="1" t="str">
        <f ca="1">IFERROR(__xludf.DUMMYFUNCTION("GOOGLETRANSLATE(A173, ""en"", ""fr"")"),"ALLÉGUER")</f>
        <v>ALLÉGUER</v>
      </c>
      <c r="D173" s="1" t="s">
        <v>4963</v>
      </c>
    </row>
    <row r="174" spans="1:97" ht="14.25" customHeight="1" x14ac:dyDescent="0.3">
      <c r="A174" s="1" t="s">
        <v>316</v>
      </c>
      <c r="B174" s="1" t="str">
        <f ca="1">IFERROR(__xludf.DUMMYFUNCTION("GOOGLETRANSLATE(A174, ""en"", ""fr"")"),"ALLÉGUÉ")</f>
        <v>ALLÉGUÉ</v>
      </c>
      <c r="D174" s="1" t="s">
        <v>4963</v>
      </c>
    </row>
    <row r="175" spans="1:97" ht="14.25" customHeight="1" x14ac:dyDescent="0.3">
      <c r="A175" s="1" t="s">
        <v>317</v>
      </c>
      <c r="B175" s="1" t="str">
        <f ca="1">IFERROR(__xludf.DUMMYFUNCTION("GOOGLETRANSLATE(A175, ""en"", ""fr"")"),"PRÉTENDUMENT")</f>
        <v>PRÉTENDUMENT</v>
      </c>
      <c r="D175" s="1" t="s">
        <v>4963</v>
      </c>
    </row>
    <row r="176" spans="1:97" ht="14.25" customHeight="1" x14ac:dyDescent="0.3">
      <c r="A176" s="1" t="s">
        <v>318</v>
      </c>
      <c r="B176" s="1" t="str">
        <f ca="1">IFERROR(__xludf.DUMMYFUNCTION("GOOGLETRANSLATE(A176, ""en"", ""fr"")"),"Allègue")</f>
        <v>Allègue</v>
      </c>
      <c r="D176" s="1" t="s">
        <v>4963</v>
      </c>
    </row>
    <row r="177" spans="1:115" ht="14.25" customHeight="1" x14ac:dyDescent="0.3">
      <c r="A177" s="1" t="s">
        <v>319</v>
      </c>
      <c r="B177" s="1" t="str">
        <f ca="1">IFERROR(__xludf.DUMMYFUNCTION("GOOGLETRANSLATE(A177, ""en"", ""fr"")"),"Alléguant")</f>
        <v>Alléguant</v>
      </c>
      <c r="D177" s="1" t="s">
        <v>4963</v>
      </c>
    </row>
    <row r="178" spans="1:115" ht="14.25" customHeight="1" x14ac:dyDescent="0.3">
      <c r="A178" s="1" t="s">
        <v>320</v>
      </c>
      <c r="B178" s="1" t="str">
        <f ca="1">IFERROR(__xludf.DUMMYFUNCTION("GOOGLETRANSLATE(A178, ""en"", ""fr"")"),"ALLIANCE")</f>
        <v>ALLIANCE</v>
      </c>
      <c r="H178" s="1" t="s">
        <v>4964</v>
      </c>
    </row>
    <row r="179" spans="1:115" ht="14.25" customHeight="1" x14ac:dyDescent="0.3">
      <c r="A179" s="1" t="s">
        <v>321</v>
      </c>
      <c r="B179" s="1" t="str">
        <f ca="1">IFERROR(__xludf.DUMMYFUNCTION("GOOGLETRANSLATE(A179, ""en"", ""fr"")"),"Alliances")</f>
        <v>Alliances</v>
      </c>
      <c r="H179" s="1" t="s">
        <v>4964</v>
      </c>
    </row>
    <row r="180" spans="1:115" ht="14.25" customHeight="1" x14ac:dyDescent="0.3">
      <c r="A180" s="1" t="s">
        <v>322</v>
      </c>
      <c r="B180" s="1" t="str">
        <f ca="1">IFERROR(__xludf.DUMMYFUNCTION("GOOGLETRANSLATE(A180, ""en"", ""fr"")"),"efficacité d'allocation")</f>
        <v>efficacité d'allocation</v>
      </c>
      <c r="M180" s="1" t="s">
        <v>10</v>
      </c>
    </row>
    <row r="181" spans="1:115" ht="14.25" customHeight="1" x14ac:dyDescent="0.3">
      <c r="A181" s="1" t="s">
        <v>323</v>
      </c>
      <c r="B181" s="1" t="str">
        <f ca="1">IFERROR(__xludf.DUMMYFUNCTION("GOOGLETRANSLATE(A181, ""en"", ""fr"")"),"allocation")</f>
        <v>allocation</v>
      </c>
      <c r="M181" s="1" t="s">
        <v>10</v>
      </c>
    </row>
    <row r="182" spans="1:115" ht="14.25" customHeight="1" x14ac:dyDescent="0.3">
      <c r="A182" s="1" t="s">
        <v>324</v>
      </c>
      <c r="B182" s="1" t="str">
        <f ca="1">IFERROR(__xludf.DUMMYFUNCTION("GOOGLETRANSLATE(A182, ""en"", ""fr"")"),"alpin")</f>
        <v>alpin</v>
      </c>
      <c r="DD182" s="1" t="s">
        <v>105</v>
      </c>
      <c r="DF182" s="1" t="s">
        <v>107</v>
      </c>
      <c r="DK182" s="1" t="s">
        <v>112</v>
      </c>
    </row>
    <row r="183" spans="1:115" ht="14.25" customHeight="1" x14ac:dyDescent="0.3">
      <c r="A183" s="1" t="s">
        <v>325</v>
      </c>
      <c r="B183" s="1" t="str">
        <f ca="1">IFERROR(__xludf.DUMMYFUNCTION("GOOGLETRANSLATE(A183, ""en"", ""fr"")"),"aussi")</f>
        <v>aussi</v>
      </c>
      <c r="J183" s="1" t="s">
        <v>7</v>
      </c>
    </row>
    <row r="184" spans="1:115" ht="14.25" customHeight="1" x14ac:dyDescent="0.3">
      <c r="A184" s="1" t="s">
        <v>326</v>
      </c>
      <c r="B184" s="1" t="str">
        <f ca="1">IFERROR(__xludf.DUMMYFUNCTION("GOOGLETRANSLATE(A184, ""en"", ""fr"")"),"bien que")</f>
        <v>bien que</v>
      </c>
      <c r="J184" s="1" t="s">
        <v>7</v>
      </c>
    </row>
    <row r="185" spans="1:115" ht="14.25" customHeight="1" x14ac:dyDescent="0.3">
      <c r="A185" s="1" t="s">
        <v>327</v>
      </c>
      <c r="B185" s="1" t="str">
        <f ca="1">IFERROR(__xludf.DUMMYFUNCTION("GOOGLETRANSLATE(A185, ""en"", ""fr"")"),"suis")</f>
        <v>suis</v>
      </c>
      <c r="J185" s="1" t="s">
        <v>7</v>
      </c>
    </row>
    <row r="186" spans="1:115" ht="14.25" customHeight="1" x14ac:dyDescent="0.3">
      <c r="A186" s="1" t="s">
        <v>328</v>
      </c>
      <c r="B186" s="1" t="str">
        <f ca="1">IFERROR(__xludf.DUMMYFUNCTION("GOOGLETRANSLATE(A186, ""en"", ""fr"")"),"Amenam Blend")</f>
        <v>Amenam Blend</v>
      </c>
      <c r="R186" s="1" t="s">
        <v>15</v>
      </c>
      <c r="CS186" s="1" t="s">
        <v>94</v>
      </c>
    </row>
    <row r="187" spans="1:115" ht="14.25" customHeight="1" x14ac:dyDescent="0.3">
      <c r="A187" s="1" t="s">
        <v>329</v>
      </c>
      <c r="B187" s="1" t="str">
        <f ca="1">IFERROR(__xludf.DUMMYFUNCTION("GOOGLETRANSLATE(A187, ""en"", ""fr"")"),"American Recovery &amp; Reinvestment Act (ARRA)")</f>
        <v>American Recovery &amp; Reinvestment Act (ARRA)</v>
      </c>
      <c r="M187" s="1" t="s">
        <v>10</v>
      </c>
    </row>
    <row r="188" spans="1:115" ht="14.25" customHeight="1" x14ac:dyDescent="0.3">
      <c r="A188" s="1" t="s">
        <v>330</v>
      </c>
      <c r="B188" s="1" t="str">
        <f ca="1">IFERROR(__xludf.DUMMYFUNCTION("GOOGLETRANSLATE(A188, ""en"", ""fr"")"),"Amériéré-hamaca")</f>
        <v>Amériéré-hamaca</v>
      </c>
      <c r="R188" s="1" t="s">
        <v>15</v>
      </c>
      <c r="CS188" s="1" t="s">
        <v>94</v>
      </c>
    </row>
    <row r="189" spans="1:115" ht="14.25" customHeight="1" x14ac:dyDescent="0.3">
      <c r="A189" s="1" t="s">
        <v>331</v>
      </c>
      <c r="B189" s="1" t="str">
        <f ca="1">IFERROR(__xludf.DUMMYFUNCTION("GOOGLETRANSLATE(A189, ""en"", ""fr"")"),"Amna")</f>
        <v>Amna</v>
      </c>
      <c r="R189" s="1" t="s">
        <v>15</v>
      </c>
      <c r="CS189" s="1" t="s">
        <v>94</v>
      </c>
    </row>
    <row r="190" spans="1:115" ht="14.25" customHeight="1" x14ac:dyDescent="0.3">
      <c r="A190" s="1" t="s">
        <v>332</v>
      </c>
      <c r="B190" s="1" t="str">
        <f ca="1">IFERROR(__xludf.DUMMYFUNCTION("GOOGLETRANSLATE(A190, ""en"", ""fr"")"),"parmi")</f>
        <v>parmi</v>
      </c>
      <c r="J190" s="1" t="s">
        <v>7</v>
      </c>
    </row>
    <row r="191" spans="1:115" ht="14.25" customHeight="1" x14ac:dyDescent="0.3">
      <c r="A191" s="1" t="s">
        <v>333</v>
      </c>
      <c r="B191" s="1" t="str">
        <f ca="1">IFERROR(__xludf.DUMMYFUNCTION("GOOGLETRANSLATE(A191, ""en"", ""fr"")"),"amortissement")</f>
        <v>amortissement</v>
      </c>
      <c r="CR191" s="1" t="s">
        <v>93</v>
      </c>
    </row>
    <row r="192" spans="1:115" ht="14.25" customHeight="1" x14ac:dyDescent="0.3">
      <c r="A192" s="1" t="s">
        <v>334</v>
      </c>
      <c r="B192" s="1" t="str">
        <f ca="1">IFERROR(__xludf.DUMMYFUNCTION("GOOGLETRANSLATE(A192, ""en"", ""fr"")"),"un")</f>
        <v>un</v>
      </c>
      <c r="J192" s="1" t="s">
        <v>7</v>
      </c>
    </row>
    <row r="193" spans="1:132" ht="14.25" customHeight="1" x14ac:dyDescent="0.3">
      <c r="A193" s="1" t="s">
        <v>335</v>
      </c>
      <c r="B193" s="1" t="str">
        <f ca="1">IFERROR(__xludf.DUMMYFUNCTION("GOOGLETRANSLATE(A193, ""en"", ""fr"")"),"Anasurie")</f>
        <v>Anasurie</v>
      </c>
      <c r="R193" s="1" t="s">
        <v>15</v>
      </c>
      <c r="CS193" s="1" t="s">
        <v>94</v>
      </c>
    </row>
    <row r="194" spans="1:132" ht="14.25" customHeight="1" x14ac:dyDescent="0.3">
      <c r="A194" s="1" t="s">
        <v>336</v>
      </c>
      <c r="B194" s="1" t="str">
        <f ca="1">IFERROR(__xludf.DUMMYFUNCTION("GOOGLETRANSLATE(A194, ""en"", ""fr"")"),"et")</f>
        <v>et</v>
      </c>
      <c r="J194" s="1" t="s">
        <v>7</v>
      </c>
    </row>
    <row r="195" spans="1:132" ht="14.25" customHeight="1" x14ac:dyDescent="0.3">
      <c r="A195" s="1" t="s">
        <v>337</v>
      </c>
      <c r="B195" s="1" t="str">
        <f ca="1">IFERROR(__xludf.DUMMYFUNCTION("GOOGLETRANSLATE(A195, ""en"", ""fr"")"),"raffinerie pétrochimique angarsk")</f>
        <v>raffinerie pétrochimique angarsk</v>
      </c>
      <c r="BF195" s="1" t="s">
        <v>55</v>
      </c>
      <c r="BL195" s="1" t="s">
        <v>61</v>
      </c>
      <c r="BV195" s="1" t="s">
        <v>71</v>
      </c>
      <c r="EB195" s="1" t="s">
        <v>129</v>
      </c>
    </row>
    <row r="196" spans="1:132" ht="14.25" customHeight="1" x14ac:dyDescent="0.3">
      <c r="A196" s="1" t="s">
        <v>338</v>
      </c>
      <c r="B196" s="1" t="str">
        <f ca="1">IFERROR(__xludf.DUMMYFUNCTION("GOOGLETRANSLATE(A196, ""en"", ""fr"")"),"esprits des animaux")</f>
        <v>esprits des animaux</v>
      </c>
      <c r="M196" s="1" t="s">
        <v>10</v>
      </c>
    </row>
    <row r="197" spans="1:132" ht="14.25" customHeight="1" x14ac:dyDescent="0.3">
      <c r="A197" s="1" t="s">
        <v>339</v>
      </c>
      <c r="B197" s="1" t="str">
        <f ca="1">IFERROR(__xludf.DUMMYFUNCTION("GOOGLETRANSLATE(A197, ""en"", ""fr"")"),"ENNUYER")</f>
        <v>ENNUYER</v>
      </c>
      <c r="D197" s="1" t="s">
        <v>4963</v>
      </c>
    </row>
    <row r="198" spans="1:132" ht="14.25" customHeight="1" x14ac:dyDescent="0.3">
      <c r="A198" s="1" t="s">
        <v>340</v>
      </c>
      <c r="B198" s="1" t="str">
        <f ca="1">IFERROR(__xludf.DUMMYFUNCTION("GOOGLETRANSLATE(A198, ""en"", ""fr"")"),"CONTRARIÉTÉ")</f>
        <v>CONTRARIÉTÉ</v>
      </c>
      <c r="D198" s="1" t="s">
        <v>4963</v>
      </c>
    </row>
    <row r="199" spans="1:132" ht="14.25" customHeight="1" x14ac:dyDescent="0.3">
      <c r="A199" s="1" t="s">
        <v>341</v>
      </c>
      <c r="B199" s="1" t="str">
        <f ca="1">IFERROR(__xludf.DUMMYFUNCTION("GOOGLETRANSLATE(A199, ""en"", ""fr"")"),"Agacer")</f>
        <v>Agacer</v>
      </c>
      <c r="D199" s="1" t="s">
        <v>4963</v>
      </c>
    </row>
    <row r="200" spans="1:132" ht="14.25" customHeight="1" x14ac:dyDescent="0.3">
      <c r="A200" s="1" t="s">
        <v>342</v>
      </c>
      <c r="B200" s="1" t="str">
        <f ca="1">IFERROR(__xludf.DUMMYFUNCTION("GOOGLETRANSLATE(A200, ""en"", ""fr"")"),"AGACÉ")</f>
        <v>AGACÉ</v>
      </c>
      <c r="D200" s="1" t="s">
        <v>4963</v>
      </c>
    </row>
    <row r="201" spans="1:132" ht="14.25" customHeight="1" x14ac:dyDescent="0.3">
      <c r="A201" s="1" t="s">
        <v>343</v>
      </c>
      <c r="B201" s="1" t="str">
        <f ca="1">IFERROR(__xludf.DUMMYFUNCTION("GOOGLETRANSLATE(A201, ""en"", ""fr"")"),"ENNUYEUX")</f>
        <v>ENNUYEUX</v>
      </c>
      <c r="D201" s="1" t="s">
        <v>4963</v>
      </c>
    </row>
    <row r="202" spans="1:132" ht="14.25" customHeight="1" x14ac:dyDescent="0.3">
      <c r="A202" s="1" t="s">
        <v>344</v>
      </c>
      <c r="B202" s="1" t="str">
        <f ca="1">IFERROR(__xludf.DUMMYFUNCTION("GOOGLETRANSLATE(A202, ""en"", ""fr"")"),"Agacer")</f>
        <v>Agacer</v>
      </c>
      <c r="D202" s="1" t="s">
        <v>4963</v>
      </c>
    </row>
    <row r="203" spans="1:132" ht="14.25" customHeight="1" x14ac:dyDescent="0.3">
      <c r="A203" s="1" t="s">
        <v>345</v>
      </c>
      <c r="B203" s="1" t="str">
        <f ca="1">IFERROR(__xludf.DUMMYFUNCTION("GOOGLETRANSLATE(A203, ""en"", ""fr"")"),"ANNULER")</f>
        <v>ANNULER</v>
      </c>
      <c r="D203" s="1" t="s">
        <v>4963</v>
      </c>
    </row>
    <row r="204" spans="1:132" ht="14.25" customHeight="1" x14ac:dyDescent="0.3">
      <c r="A204" s="1" t="s">
        <v>346</v>
      </c>
      <c r="B204" s="1" t="str">
        <f ca="1">IFERROR(__xludf.DUMMYFUNCTION("GOOGLETRANSLATE(A204, ""en"", ""fr"")"),"ANNULÉ")</f>
        <v>ANNULÉ</v>
      </c>
      <c r="D204" s="1" t="s">
        <v>4963</v>
      </c>
    </row>
    <row r="205" spans="1:132" ht="14.25" customHeight="1" x14ac:dyDescent="0.3">
      <c r="A205" s="1" t="s">
        <v>347</v>
      </c>
      <c r="B205" s="1" t="str">
        <f ca="1">IFERROR(__xludf.DUMMYFUNCTION("GOOGLETRANSLATE(A205, ""en"", ""fr"")"),"Annulation")</f>
        <v>Annulation</v>
      </c>
      <c r="D205" s="1" t="s">
        <v>4963</v>
      </c>
    </row>
    <row r="206" spans="1:132" ht="14.25" customHeight="1" x14ac:dyDescent="0.3">
      <c r="A206" s="1" t="s">
        <v>348</v>
      </c>
      <c r="B206" s="1" t="str">
        <f ca="1">IFERROR(__xludf.DUMMYFUNCTION("GOOGLETRANSLATE(A206, ""en"", ""fr"")"),"ANNULATION")</f>
        <v>ANNULATION</v>
      </c>
      <c r="D206" s="1" t="s">
        <v>4963</v>
      </c>
    </row>
    <row r="207" spans="1:132" ht="14.25" customHeight="1" x14ac:dyDescent="0.3">
      <c r="A207" s="1" t="s">
        <v>349</v>
      </c>
      <c r="B207" s="1" t="str">
        <f ca="1">IFERROR(__xludf.DUMMYFUNCTION("GOOGLETRANSLATE(A207, ""en"", ""fr"")"),"Annulations")</f>
        <v>Annulations</v>
      </c>
      <c r="D207" s="1" t="s">
        <v>4963</v>
      </c>
    </row>
    <row r="208" spans="1:132" ht="14.25" customHeight="1" x14ac:dyDescent="0.3">
      <c r="A208" s="1" t="s">
        <v>350</v>
      </c>
      <c r="B208" s="1" t="str">
        <f ca="1">IFERROR(__xludf.DUMMYFUNCTION("GOOGLETRANSLATE(A208, ""en"", ""fr"")"),"Annex")</f>
        <v>Annex</v>
      </c>
      <c r="D208" s="1" t="s">
        <v>4963</v>
      </c>
    </row>
    <row r="209" spans="1:142" ht="14.25" customHeight="1" x14ac:dyDescent="0.3">
      <c r="A209" s="1" t="s">
        <v>351</v>
      </c>
      <c r="B209" s="1" t="str">
        <f ca="1">IFERROR(__xludf.DUMMYFUNCTION("GOOGLETRANSLATE(A209, ""en"", ""fr"")"),"Anneau")</f>
        <v>Anneau</v>
      </c>
      <c r="E209" s="1" t="s">
        <v>3</v>
      </c>
      <c r="AY209" s="1" t="s">
        <v>48</v>
      </c>
    </row>
    <row r="210" spans="1:142" ht="14.25" customHeight="1" x14ac:dyDescent="0.3">
      <c r="A210" s="1" t="s">
        <v>352</v>
      </c>
      <c r="B210" s="1" t="str">
        <f ca="1">IFERROR(__xludf.DUMMYFUNCTION("GOOGLETRANSLATE(A210, ""en"", ""fr"")"),"Anomalies")</f>
        <v>Anomalies</v>
      </c>
      <c r="D210" s="1" t="s">
        <v>4963</v>
      </c>
    </row>
    <row r="211" spans="1:142" ht="14.25" customHeight="1" x14ac:dyDescent="0.3">
      <c r="A211" s="1" t="s">
        <v>353</v>
      </c>
      <c r="B211" s="1" t="str">
        <f ca="1">IFERROR(__xludf.DUMMYFUNCTION("GOOGLETRANSLATE(A211, ""en"", ""fr"")"),"ANORMAL")</f>
        <v>ANORMAL</v>
      </c>
      <c r="D211" s="1" t="s">
        <v>4963</v>
      </c>
    </row>
    <row r="212" spans="1:142" ht="14.25" customHeight="1" x14ac:dyDescent="0.3">
      <c r="A212" s="1" t="s">
        <v>354</v>
      </c>
      <c r="B212" s="1" t="str">
        <f ca="1">IFERROR(__xludf.DUMMYFUNCTION("GOOGLETRANSLATE(A212, ""en"", ""fr"")"),"Anormalement")</f>
        <v>Anormalement</v>
      </c>
      <c r="D212" s="1" t="s">
        <v>4963</v>
      </c>
    </row>
    <row r="213" spans="1:142" ht="14.25" customHeight="1" x14ac:dyDescent="0.3">
      <c r="A213" s="1" t="s">
        <v>355</v>
      </c>
      <c r="B213" s="1" t="str">
        <f ca="1">IFERROR(__xludf.DUMMYFUNCTION("GOOGLETRANSLATE(A213, ""en"", ""fr"")"),"ANOMALIE")</f>
        <v>ANOMALIE</v>
      </c>
      <c r="D213" s="1" t="s">
        <v>4963</v>
      </c>
    </row>
    <row r="214" spans="1:142" ht="14.25" customHeight="1" x14ac:dyDescent="0.3">
      <c r="A214" s="1" t="s">
        <v>356</v>
      </c>
      <c r="B214" s="1" t="str">
        <f ca="1">IFERROR(__xludf.DUMMYFUNCTION("GOOGLETRANSLATE(A214, ""en"", ""fr"")"),"raffinerie de la société Anqing")</f>
        <v>raffinerie de la société Anqing</v>
      </c>
      <c r="X214" s="1" t="s">
        <v>21</v>
      </c>
      <c r="AA214" s="1" t="s">
        <v>24</v>
      </c>
      <c r="BF214" s="1" t="s">
        <v>55</v>
      </c>
      <c r="DV214" s="1" t="s">
        <v>123</v>
      </c>
      <c r="EB214" s="1" t="s">
        <v>129</v>
      </c>
    </row>
    <row r="215" spans="1:142" ht="14.25" customHeight="1" x14ac:dyDescent="0.3">
      <c r="A215" s="1" t="s">
        <v>357</v>
      </c>
      <c r="B215" s="1" t="str">
        <f ca="1">IFERROR(__xludf.DUMMYFUNCTION("GOOGLETRANSLATE(A215, ""en"", ""fr"")"),"Mélange antan")</f>
        <v>Mélange antan</v>
      </c>
      <c r="R215" s="1" t="s">
        <v>15</v>
      </c>
      <c r="CS215" s="1" t="s">
        <v>94</v>
      </c>
    </row>
    <row r="216" spans="1:142" ht="14.25" customHeight="1" x14ac:dyDescent="0.3">
      <c r="A216" s="1" t="s">
        <v>358</v>
      </c>
      <c r="B216" s="1" t="str">
        <f ca="1">IFERROR(__xludf.DUMMYFUNCTION("GOOGLETRANSLATE(A216, ""en"", ""fr"")"),"Anticoncurrentiel")</f>
        <v>Anticoncurrentiel</v>
      </c>
      <c r="D216" s="1" t="s">
        <v>4963</v>
      </c>
    </row>
    <row r="217" spans="1:142" ht="14.25" customHeight="1" x14ac:dyDescent="0.3">
      <c r="A217" s="1" t="s">
        <v>359</v>
      </c>
      <c r="B217" s="1" t="str">
        <f ca="1">IFERROR(__xludf.DUMMYFUNCTION("GOOGLETRANSLATE(A217, ""en"", ""fr"")"),"Agent antifoam")</f>
        <v>Agent antifoam</v>
      </c>
      <c r="E217" s="1" t="s">
        <v>3</v>
      </c>
    </row>
    <row r="218" spans="1:142" ht="14.25" customHeight="1" x14ac:dyDescent="0.3">
      <c r="A218" s="1" t="s">
        <v>360</v>
      </c>
      <c r="B218" s="1" t="str">
        <f ca="1">IFERROR(__xludf.DUMMYFUNCTION("GOOGLETRANSLATE(A218, ""en"", ""fr"")"),"ANTITRUST")</f>
        <v>ANTITRUST</v>
      </c>
      <c r="D218" s="1" t="s">
        <v>4963</v>
      </c>
    </row>
    <row r="219" spans="1:142" ht="14.25" customHeight="1" x14ac:dyDescent="0.3">
      <c r="A219" s="1" t="s">
        <v>361</v>
      </c>
      <c r="B219" s="1" t="str">
        <f ca="1">IFERROR(__xludf.DUMMYFUNCTION("GOOGLETRANSLATE(A219, ""en"", ""fr"")"),"Lois antitrust")</f>
        <v>Lois antitrust</v>
      </c>
      <c r="M219" s="1" t="s">
        <v>10</v>
      </c>
    </row>
    <row r="220" spans="1:142" ht="14.25" customHeight="1" x14ac:dyDescent="0.3">
      <c r="A220" s="1" t="s">
        <v>362</v>
      </c>
      <c r="B220" s="1" t="str">
        <f ca="1">IFERROR(__xludf.DUMMYFUNCTION("GOOGLETRANSLATE(A220, ""en"", ""fr"")"),"Antonio Doval? Jaime")</f>
        <v>Antonio Doval? Jaime</v>
      </c>
      <c r="AD220" s="1" t="s">
        <v>27</v>
      </c>
      <c r="BF220" s="1" t="s">
        <v>55</v>
      </c>
      <c r="DE220" s="1" t="s">
        <v>106</v>
      </c>
      <c r="EB220" s="1" t="s">
        <v>129</v>
      </c>
    </row>
    <row r="221" spans="1:142" ht="14.25" customHeight="1" x14ac:dyDescent="0.3">
      <c r="A221" s="1" t="s">
        <v>363</v>
      </c>
      <c r="B221" s="1" t="str">
        <f ca="1">IFERROR(__xludf.DUMMYFUNCTION("GOOGLETRANSLATE(A221, ""en"", ""fr"")"),"Gravité API")</f>
        <v>Gravité API</v>
      </c>
      <c r="EL221" s="1" t="s">
        <v>139</v>
      </c>
    </row>
    <row r="222" spans="1:142" ht="14.25" customHeight="1" x14ac:dyDescent="0.3">
      <c r="A222" s="1" t="s">
        <v>364</v>
      </c>
      <c r="B222" s="1" t="str">
        <f ca="1">IFERROR(__xludf.DUMMYFUNCTION("GOOGLETRANSLATE(A222, ""en"", ""fr"")"),"économie appliquée")</f>
        <v>économie appliquée</v>
      </c>
      <c r="M222" s="1" t="s">
        <v>10</v>
      </c>
    </row>
    <row r="223" spans="1:142" ht="14.25" customHeight="1" x14ac:dyDescent="0.3">
      <c r="A223" s="1" t="s">
        <v>365</v>
      </c>
      <c r="B223" s="1" t="str">
        <f ca="1">IFERROR(__xludf.DUMMYFUNCTION("GOOGLETRANSLATE(A223, ""en"", ""fr"")"),"Évaluation")</f>
        <v>Évaluation</v>
      </c>
      <c r="AY223" s="1" t="s">
        <v>48</v>
      </c>
    </row>
    <row r="224" spans="1:142" ht="14.25" customHeight="1" x14ac:dyDescent="0.3">
      <c r="A224" s="1" t="s">
        <v>366</v>
      </c>
      <c r="B224" s="1" t="str">
        <f ca="1">IFERROR(__xludf.DUMMYFUNCTION("GOOGLETRANSLATE(A224, ""en"", ""fr"")"),"Forage d'évaluation")</f>
        <v>Forage d'évaluation</v>
      </c>
      <c r="AY224" s="1" t="s">
        <v>48</v>
      </c>
    </row>
    <row r="225" spans="1:132" ht="14.25" customHeight="1" x14ac:dyDescent="0.3">
      <c r="A225" s="1" t="s">
        <v>367</v>
      </c>
      <c r="B225" s="1" t="str">
        <f ca="1">IFERROR(__xludf.DUMMYFUNCTION("GOOGLETRANSLATE(A225, ""en"", ""fr"")"),"Bien d'évaluation")</f>
        <v>Bien d'évaluation</v>
      </c>
      <c r="AY225" s="1" t="s">
        <v>48</v>
      </c>
    </row>
    <row r="226" spans="1:132" ht="14.25" customHeight="1" x14ac:dyDescent="0.3">
      <c r="A226" s="1" t="s">
        <v>368</v>
      </c>
      <c r="B226" s="1" t="str">
        <f ca="1">IFERROR(__xludf.DUMMYFUNCTION("GOOGLETRANSLATE(A226, ""en"", ""fr"")"),"avr")</f>
        <v>avr</v>
      </c>
      <c r="J226" s="1" t="s">
        <v>7</v>
      </c>
    </row>
    <row r="227" spans="1:132" ht="14.25" customHeight="1" x14ac:dyDescent="0.3">
      <c r="A227" s="1" t="s">
        <v>369</v>
      </c>
      <c r="B227" s="1" t="str">
        <f ca="1">IFERROR(__xludf.DUMMYFUNCTION("GOOGLETRANSLATE(A227, ""en"", ""fr"")"),"avril")</f>
        <v>avril</v>
      </c>
      <c r="J227" s="1" t="s">
        <v>7</v>
      </c>
    </row>
    <row r="228" spans="1:132" ht="14.25" customHeight="1" x14ac:dyDescent="0.3">
      <c r="A228" s="1" t="s">
        <v>370</v>
      </c>
      <c r="B228" s="1" t="str">
        <f ca="1">IFERROR(__xludf.DUMMYFUNCTION("GOOGLETRANSLATE(A228, ""en"", ""fr"")"),"Arabe supplémentaire")</f>
        <v>Arabe supplémentaire</v>
      </c>
      <c r="R228" s="1" t="s">
        <v>15</v>
      </c>
      <c r="CS228" s="1" t="s">
        <v>94</v>
      </c>
    </row>
    <row r="229" spans="1:132" ht="14.25" customHeight="1" x14ac:dyDescent="0.3">
      <c r="A229" s="1" t="s">
        <v>371</v>
      </c>
      <c r="B229" s="1" t="str">
        <f ca="1">IFERROR(__xludf.DUMMYFUNCTION("GOOGLETRANSLATE(A229, ""en"", ""fr"")"),"Lourd")</f>
        <v>Lourd</v>
      </c>
      <c r="R229" s="1" t="s">
        <v>15</v>
      </c>
      <c r="CS229" s="1" t="s">
        <v>94</v>
      </c>
    </row>
    <row r="230" spans="1:132" ht="14.25" customHeight="1" x14ac:dyDescent="0.3">
      <c r="A230" s="1" t="s">
        <v>372</v>
      </c>
      <c r="B230" s="1" t="str">
        <f ca="1">IFERROR(__xludf.DUMMYFUNCTION("GOOGLETRANSLATE(A230, ""en"", ""fr"")"),"Lumière arabe")</f>
        <v>Lumière arabe</v>
      </c>
      <c r="R230" s="1" t="s">
        <v>15</v>
      </c>
      <c r="CS230" s="1" t="s">
        <v>94</v>
      </c>
    </row>
    <row r="231" spans="1:132" ht="14.25" customHeight="1" x14ac:dyDescent="0.3">
      <c r="A231" s="1" t="s">
        <v>373</v>
      </c>
      <c r="B231" s="1" t="str">
        <f ca="1">IFERROR(__xludf.DUMMYFUNCTION("GOOGLETRANSLATE(A231, ""en"", ""fr"")"),"Médium arabe")</f>
        <v>Médium arabe</v>
      </c>
      <c r="R231" s="1" t="s">
        <v>15</v>
      </c>
      <c r="CS231" s="1" t="s">
        <v>94</v>
      </c>
    </row>
    <row r="232" spans="1:132" ht="14.25" customHeight="1" x14ac:dyDescent="0.3">
      <c r="A232" s="1" t="s">
        <v>374</v>
      </c>
      <c r="B232" s="1" t="str">
        <f ca="1">IFERROR(__xludf.DUMMYFUNCTION("GOOGLETRANSLATE(A232, ""en"", ""fr"")"),"Super lumière arabe")</f>
        <v>Super lumière arabe</v>
      </c>
      <c r="R232" s="1" t="s">
        <v>15</v>
      </c>
      <c r="CS232" s="1" t="s">
        <v>94</v>
      </c>
    </row>
    <row r="233" spans="1:132" ht="14.25" customHeight="1" x14ac:dyDescent="0.3">
      <c r="A233" s="1" t="s">
        <v>375</v>
      </c>
      <c r="B233" s="1" t="str">
        <f ca="1">IFERROR(__xludf.DUMMYFUNCTION("GOOGLETRANSLATE(A233, ""en"", ""fr"")"),"Ardjuna super lumière arabe")</f>
        <v>Ardjuna super lumière arabe</v>
      </c>
      <c r="R233" s="1" t="s">
        <v>15</v>
      </c>
      <c r="CS233" s="1" t="s">
        <v>94</v>
      </c>
    </row>
    <row r="234" spans="1:132" ht="14.25" customHeight="1" x14ac:dyDescent="0.3">
      <c r="A234" s="1" t="s">
        <v>376</v>
      </c>
      <c r="B234" s="1" t="str">
        <f ca="1">IFERROR(__xludf.DUMMYFUNCTION("GOOGLETRANSLATE(A234, ""en"", ""fr"")"),"compagnie pétrolière du golfe Arabian")</f>
        <v>compagnie pétrolière du golfe Arabian</v>
      </c>
      <c r="CL234" s="1" t="s">
        <v>87</v>
      </c>
      <c r="CN234" s="1" t="s">
        <v>89</v>
      </c>
      <c r="CW234" s="1" t="s">
        <v>98</v>
      </c>
      <c r="DT234" s="1" t="s">
        <v>121</v>
      </c>
    </row>
    <row r="235" spans="1:132" ht="14.25" customHeight="1" x14ac:dyDescent="0.3">
      <c r="A235" s="1" t="s">
        <v>377</v>
      </c>
      <c r="B235" s="1" t="str">
        <f ca="1">IFERROR(__xludf.DUMMYFUNCTION("GOOGLETRANSLATE(A235, ""en"", ""fr"")"),"aramco")</f>
        <v>aramco</v>
      </c>
      <c r="BI235" s="1" t="s">
        <v>58</v>
      </c>
      <c r="BM235" s="1" t="s">
        <v>62</v>
      </c>
      <c r="CL235" s="1" t="s">
        <v>87</v>
      </c>
      <c r="CX235" s="1" t="s">
        <v>99</v>
      </c>
      <c r="DT235" s="1" t="s">
        <v>121</v>
      </c>
    </row>
    <row r="236" spans="1:132" ht="14.25" customHeight="1" x14ac:dyDescent="0.3">
      <c r="A236" s="1" t="s">
        <v>378</v>
      </c>
      <c r="B236" s="1" t="str">
        <f ca="1">IFERROR(__xludf.DUMMYFUNCTION("GOOGLETRANSLATE(A236, ""en"", ""fr"")"),"ARAMCO / EXXON YANBU 'REFINIERIE")</f>
        <v>ARAMCO / EXXON YANBU 'REFINIERIE</v>
      </c>
      <c r="BF236" s="1" t="s">
        <v>55</v>
      </c>
      <c r="BM236" s="1" t="s">
        <v>62</v>
      </c>
      <c r="CL236" s="1" t="s">
        <v>87</v>
      </c>
      <c r="CX236" s="1" t="s">
        <v>99</v>
      </c>
      <c r="EB236" s="1" t="s">
        <v>129</v>
      </c>
    </row>
    <row r="237" spans="1:132" ht="14.25" customHeight="1" x14ac:dyDescent="0.3">
      <c r="A237" s="1" t="s">
        <v>379</v>
      </c>
      <c r="B237" s="1" t="str">
        <f ca="1">IFERROR(__xludf.DUMMYFUNCTION("GOOGLETRANSLATE(A237, ""en"", ""fr"")"),"sont")</f>
        <v>sont</v>
      </c>
      <c r="J237" s="1" t="s">
        <v>7</v>
      </c>
    </row>
    <row r="238" spans="1:132" ht="14.25" customHeight="1" x14ac:dyDescent="0.3">
      <c r="A238" s="1" t="s">
        <v>380</v>
      </c>
      <c r="B238" s="1" t="str">
        <f ca="1">IFERROR(__xludf.DUMMYFUNCTION("GOOGLETRANSLATE(A238, ""en"", ""fr"")"),"ARGUMENTER")</f>
        <v>ARGUMENTER</v>
      </c>
      <c r="D238" s="1" t="s">
        <v>4963</v>
      </c>
    </row>
    <row r="239" spans="1:132" ht="14.25" customHeight="1" x14ac:dyDescent="0.3">
      <c r="A239" s="1" t="s">
        <v>381</v>
      </c>
      <c r="B239" s="1" t="str">
        <f ca="1">IFERROR(__xludf.DUMMYFUNCTION("GOOGLETRANSLATE(A239, ""en"", ""fr"")"),"ARGUMENTÉ")</f>
        <v>ARGUMENTÉ</v>
      </c>
      <c r="D239" s="1" t="s">
        <v>4963</v>
      </c>
    </row>
    <row r="240" spans="1:132" ht="14.25" customHeight="1" x14ac:dyDescent="0.3">
      <c r="A240" s="1" t="s">
        <v>382</v>
      </c>
      <c r="B240" s="1" t="str">
        <f ca="1">IFERROR(__xludf.DUMMYFUNCTION("GOOGLETRANSLATE(A240, ""en"", ""fr"")"),"ARGUMENTER")</f>
        <v>ARGUMENTER</v>
      </c>
      <c r="D240" s="1" t="s">
        <v>4963</v>
      </c>
    </row>
    <row r="241" spans="1:108" ht="14.25" customHeight="1" x14ac:dyDescent="0.3">
      <c r="A241" s="1" t="s">
        <v>383</v>
      </c>
      <c r="B241" s="1" t="str">
        <f ca="1">IFERROR(__xludf.DUMMYFUNCTION("GOOGLETRANSLATE(A241, ""en"", ""fr"")"),"ARGUMENT")</f>
        <v>ARGUMENT</v>
      </c>
      <c r="D241" s="1" t="s">
        <v>4963</v>
      </c>
    </row>
    <row r="242" spans="1:108" ht="14.25" customHeight="1" x14ac:dyDescent="0.3">
      <c r="A242" s="1" t="s">
        <v>384</v>
      </c>
      <c r="B242" s="1" t="str">
        <f ca="1">IFERROR(__xludf.DUMMYFUNCTION("GOOGLETRANSLATE(A242, ""en"", ""fr"")"),"Argumentatif")</f>
        <v>Argumentatif</v>
      </c>
      <c r="D242" s="1" t="s">
        <v>4963</v>
      </c>
    </row>
    <row r="243" spans="1:108" ht="14.25" customHeight="1" x14ac:dyDescent="0.3">
      <c r="A243" s="1" t="s">
        <v>385</v>
      </c>
      <c r="B243" s="1" t="str">
        <f ca="1">IFERROR(__xludf.DUMMYFUNCTION("GOOGLETRANSLATE(A243, ""en"", ""fr"")"),"ARGUMENTS")</f>
        <v>ARGUMENTS</v>
      </c>
      <c r="D243" s="1" t="s">
        <v>4963</v>
      </c>
    </row>
    <row r="244" spans="1:108" ht="14.25" customHeight="1" x14ac:dyDescent="0.3">
      <c r="A244" s="1" t="s">
        <v>386</v>
      </c>
      <c r="B244" s="1" t="str">
        <f ca="1">IFERROR(__xludf.DUMMYFUNCTION("GOOGLETRANSLATE(A244, ""en"", ""fr"")"),"arlanskoye")</f>
        <v>arlanskoye</v>
      </c>
      <c r="AK244" s="1" t="s">
        <v>34</v>
      </c>
      <c r="BH244" s="1" t="s">
        <v>57</v>
      </c>
      <c r="BW244" s="1" t="s">
        <v>72</v>
      </c>
      <c r="DD244" s="1" t="s">
        <v>105</v>
      </c>
    </row>
    <row r="245" spans="1:108" ht="14.25" customHeight="1" x14ac:dyDescent="0.3">
      <c r="A245" s="1" t="s">
        <v>387</v>
      </c>
      <c r="B245" s="1" t="str">
        <f ca="1">IFERROR(__xludf.DUMMYFUNCTION("GOOGLETRANSLATE(A245, ""en"", ""fr"")"),"Marché de la longueur du bras")</f>
        <v>Marché de la longueur du bras</v>
      </c>
      <c r="M245" s="1" t="s">
        <v>10</v>
      </c>
    </row>
    <row r="246" spans="1:108" ht="14.25" customHeight="1" x14ac:dyDescent="0.3">
      <c r="A246" s="1" t="s">
        <v>388</v>
      </c>
      <c r="B246" s="1" t="str">
        <f ca="1">IFERROR(__xludf.DUMMYFUNCTION("GOOGLETRANSLATE(A246, ""en"", ""fr"")"),"autour")</f>
        <v>autour</v>
      </c>
      <c r="J246" s="1" t="s">
        <v>7</v>
      </c>
    </row>
    <row r="247" spans="1:108" ht="14.25" customHeight="1" x14ac:dyDescent="0.3">
      <c r="A247" s="1" t="s">
        <v>389</v>
      </c>
      <c r="B247" s="1" t="str">
        <f ca="1">IFERROR(__xludf.DUMMYFUNCTION("GOOGLETRANSLATE(A247, ""en"", ""fr"")"),"ARRIÉRÉ")</f>
        <v>ARRIÉRÉ</v>
      </c>
      <c r="D247" s="1" t="s">
        <v>4963</v>
      </c>
    </row>
    <row r="248" spans="1:108" ht="14.25" customHeight="1" x14ac:dyDescent="0.3">
      <c r="A248" s="1" t="s">
        <v>390</v>
      </c>
      <c r="B248" s="1" t="str">
        <f ca="1">IFERROR(__xludf.DUMMYFUNCTION("GOOGLETRANSLATE(A248, ""en"", ""fr"")"),"Arriérés")</f>
        <v>Arriérés</v>
      </c>
      <c r="D248" s="1" t="s">
        <v>4963</v>
      </c>
    </row>
    <row r="249" spans="1:108" ht="14.25" customHeight="1" x14ac:dyDescent="0.3">
      <c r="A249" s="1" t="s">
        <v>391</v>
      </c>
      <c r="B249" s="1" t="str">
        <f ca="1">IFERROR(__xludf.DUMMYFUNCTION("GOOGLETRANSLATE(A249, ""en"", ""fr"")"),"ARRÉRAGES")</f>
        <v>ARRÉRAGES</v>
      </c>
      <c r="D249" s="1" t="s">
        <v>4963</v>
      </c>
    </row>
    <row r="250" spans="1:108" ht="14.25" customHeight="1" x14ac:dyDescent="0.3">
      <c r="A250" s="1" t="s">
        <v>392</v>
      </c>
      <c r="B250" s="1" t="str">
        <f ca="1">IFERROR(__xludf.DUMMYFUNCTION("GOOGLETRANSLATE(A250, ""en"", ""fr"")"),"ARRÊTER")</f>
        <v>ARRÊTER</v>
      </c>
      <c r="D250" s="1" t="s">
        <v>4963</v>
      </c>
    </row>
    <row r="251" spans="1:108" ht="14.25" customHeight="1" x14ac:dyDescent="0.3">
      <c r="A251" s="1" t="s">
        <v>393</v>
      </c>
      <c r="B251" s="1" t="str">
        <f ca="1">IFERROR(__xludf.DUMMYFUNCTION("GOOGLETRANSLATE(A251, ""en"", ""fr"")"),"ARRÊTÉ")</f>
        <v>ARRÊTÉ</v>
      </c>
      <c r="D251" s="1" t="s">
        <v>4963</v>
      </c>
    </row>
    <row r="252" spans="1:108" ht="14.25" customHeight="1" x14ac:dyDescent="0.3">
      <c r="A252" s="1" t="s">
        <v>394</v>
      </c>
      <c r="B252" s="1" t="str">
        <f ca="1">IFERROR(__xludf.DUMMYFUNCTION("GOOGLETRANSLATE(A252, ""en"", ""fr"")"),"Arrestation")</f>
        <v>Arrestation</v>
      </c>
      <c r="D252" s="1" t="s">
        <v>4963</v>
      </c>
    </row>
    <row r="253" spans="1:108" ht="14.25" customHeight="1" x14ac:dyDescent="0.3">
      <c r="A253" s="1" t="s">
        <v>395</v>
      </c>
      <c r="B253" s="1" t="str">
        <f ca="1">IFERROR(__xludf.DUMMYFUNCTION("GOOGLETRANSLATE(A253, ""en"", ""fr"")"),"Ascension artificielle")</f>
        <v>Ascension artificielle</v>
      </c>
      <c r="E253" s="1" t="s">
        <v>3</v>
      </c>
    </row>
    <row r="254" spans="1:108" ht="14.25" customHeight="1" x14ac:dyDescent="0.3">
      <c r="A254" s="1" t="s">
        <v>396</v>
      </c>
      <c r="B254" s="1" t="str">
        <f ca="1">IFERROR(__xludf.DUMMYFUNCTION("GOOGLETRANSLATE(A254, ""en"", ""fr"")"),"Artificiellement")</f>
        <v>Artificiellement</v>
      </c>
      <c r="D254" s="1" t="s">
        <v>4963</v>
      </c>
    </row>
    <row r="255" spans="1:108" ht="14.25" customHeight="1" x14ac:dyDescent="0.3">
      <c r="A255" s="1" t="s">
        <v>397</v>
      </c>
      <c r="B255" s="1" t="str">
        <f ca="1">IFERROR(__xludf.DUMMYFUNCTION("GOOGLETRANSLATE(A255, ""en"", ""fr"")"),"Arukutun-Dagi")</f>
        <v>Arukutun-Dagi</v>
      </c>
      <c r="AK255" s="1" t="s">
        <v>34</v>
      </c>
      <c r="BH255" s="1" t="s">
        <v>57</v>
      </c>
      <c r="BW255" s="1" t="s">
        <v>72</v>
      </c>
      <c r="DD255" s="1" t="s">
        <v>105</v>
      </c>
    </row>
    <row r="256" spans="1:108" ht="14.25" customHeight="1" x14ac:dyDescent="0.3">
      <c r="A256" s="1" t="s">
        <v>398</v>
      </c>
      <c r="B256" s="1" t="str">
        <f ca="1">IFERROR(__xludf.DUMMYFUNCTION("GOOGLETRANSLATE(A256, ""en"", ""fr"")"),"Condensat d'Arun")</f>
        <v>Condensat d'Arun</v>
      </c>
      <c r="R256" s="1" t="s">
        <v>15</v>
      </c>
      <c r="CS256" s="1" t="s">
        <v>94</v>
      </c>
    </row>
    <row r="257" spans="1:142" ht="14.25" customHeight="1" x14ac:dyDescent="0.3">
      <c r="A257" s="1" t="s">
        <v>399</v>
      </c>
      <c r="B257" s="1" t="str">
        <f ca="1">IFERROR(__xludf.DUMMYFUNCTION("GOOGLETRANSLATE(A257, ""en"", ""fr"")"),"comme")</f>
        <v>comme</v>
      </c>
      <c r="J257" s="1" t="s">
        <v>7</v>
      </c>
    </row>
    <row r="258" spans="1:142" ht="14.25" customHeight="1" x14ac:dyDescent="0.3">
      <c r="A258" s="1" t="s">
        <v>400</v>
      </c>
      <c r="B258" s="1" t="str">
        <f ca="1">IFERROR(__xludf.DUMMYFUNCTION("GOOGLETRANSLATE(A258, ""en"", ""fr"")"),"Asgard Blend")</f>
        <v>Asgard Blend</v>
      </c>
      <c r="R258" s="1" t="s">
        <v>15</v>
      </c>
      <c r="CS258" s="1" t="s">
        <v>94</v>
      </c>
    </row>
    <row r="259" spans="1:142" ht="14.25" customHeight="1" x14ac:dyDescent="0.3">
      <c r="A259" s="1" t="s">
        <v>401</v>
      </c>
      <c r="B259" s="1" t="str">
        <f ca="1">IFERROR(__xludf.DUMMYFUNCTION("GOOGLETRANSLATE(A259, ""en"", ""fr"")"),"Cendre")</f>
        <v>Cendre</v>
      </c>
      <c r="E259" s="1" t="s">
        <v>3</v>
      </c>
    </row>
    <row r="260" spans="1:142" ht="14.25" customHeight="1" x14ac:dyDescent="0.3">
      <c r="A260" s="1" t="s">
        <v>402</v>
      </c>
      <c r="B260" s="1" t="str">
        <f ca="1">IFERROR(__xludf.DUMMYFUNCTION("GOOGLETRANSLATE(A260, ""en"", ""fr"")"),"Cendre sulfaté")</f>
        <v>Cendre sulfaté</v>
      </c>
      <c r="E260" s="1" t="s">
        <v>3</v>
      </c>
    </row>
    <row r="261" spans="1:142" ht="14.25" customHeight="1" x14ac:dyDescent="0.3">
      <c r="A261" s="1" t="s">
        <v>403</v>
      </c>
      <c r="B261" s="1" t="str">
        <f ca="1">IFERROR(__xludf.DUMMYFUNCTION("GOOGLETRANSLATE(A261, ""en"", ""fr"")"),"AGRESSION")</f>
        <v>AGRESSION</v>
      </c>
      <c r="D261" s="1" t="s">
        <v>4963</v>
      </c>
    </row>
    <row r="262" spans="1:142" ht="14.25" customHeight="1" x14ac:dyDescent="0.3">
      <c r="A262" s="1" t="s">
        <v>404</v>
      </c>
      <c r="B262" s="1" t="str">
        <f ca="1">IFERROR(__xludf.DUMMYFUNCTION("GOOGLETRANSLATE(A262, ""en"", ""fr"")"),"Agressé")</f>
        <v>Agressé</v>
      </c>
      <c r="D262" s="1" t="s">
        <v>4963</v>
      </c>
    </row>
    <row r="263" spans="1:142" ht="14.25" customHeight="1" x14ac:dyDescent="0.3">
      <c r="A263" s="1" t="s">
        <v>405</v>
      </c>
      <c r="B263" s="1" t="str">
        <f ca="1">IFERROR(__xludf.DUMMYFUNCTION("GOOGLETRANSLATE(A263, ""en"", ""fr"")"),"Attaquant")</f>
        <v>Attaquant</v>
      </c>
      <c r="D263" s="1" t="s">
        <v>4963</v>
      </c>
    </row>
    <row r="264" spans="1:142" ht="14.25" customHeight="1" x14ac:dyDescent="0.3">
      <c r="A264" s="1" t="s">
        <v>406</v>
      </c>
      <c r="B264" s="1" t="str">
        <f ca="1">IFERROR(__xludf.DUMMYFUNCTION("GOOGLETRANSLATE(A264, ""en"", ""fr"")"),"Voies de fait")</f>
        <v>Voies de fait</v>
      </c>
      <c r="D264" s="1" t="s">
        <v>4963</v>
      </c>
    </row>
    <row r="265" spans="1:142" ht="14.25" customHeight="1" x14ac:dyDescent="0.3">
      <c r="A265" s="1" t="s">
        <v>407</v>
      </c>
      <c r="B265" s="1" t="str">
        <f ca="1">IFERROR(__xludf.DUMMYFUNCTION("GOOGLETRANSLATE(A265, ""en"", ""fr"")"),"Affirmation")</f>
        <v>Affirmation</v>
      </c>
      <c r="D265" s="1" t="s">
        <v>4963</v>
      </c>
    </row>
    <row r="266" spans="1:142" ht="14.25" customHeight="1" x14ac:dyDescent="0.3">
      <c r="A266" s="1" t="s">
        <v>408</v>
      </c>
      <c r="B266" s="1" t="str">
        <f ca="1">IFERROR(__xludf.DUMMYFUNCTION("GOOGLETRANSLATE(A266, ""en"", ""fr"")"),"actif")</f>
        <v>actif</v>
      </c>
      <c r="CR266" s="1" t="s">
        <v>93</v>
      </c>
    </row>
    <row r="267" spans="1:142" ht="14.25" customHeight="1" x14ac:dyDescent="0.3">
      <c r="A267" s="1" t="s">
        <v>409</v>
      </c>
      <c r="B267" s="1" t="str">
        <f ca="1">IFERROR(__xludf.DUMMYFUNCTION("GOOGLETRANSLATE(A267, ""en"", ""fr"")"),"actifs")</f>
        <v>actifs</v>
      </c>
      <c r="CR267" s="1" t="s">
        <v>93</v>
      </c>
    </row>
    <row r="268" spans="1:142" ht="14.25" customHeight="1" x14ac:dyDescent="0.3">
      <c r="A268" s="1" t="s">
        <v>410</v>
      </c>
      <c r="B268" s="1" t="str">
        <f ca="1">IFERROR(__xludf.DUMMYFUNCTION("GOOGLETRANSLATE(A268, ""en"", ""fr"")"),"Gaz naturel associé")</f>
        <v>Gaz naturel associé</v>
      </c>
      <c r="EL268" s="1" t="s">
        <v>139</v>
      </c>
    </row>
    <row r="269" spans="1:142" ht="14.25" customHeight="1" x14ac:dyDescent="0.3">
      <c r="A269" s="1" t="s">
        <v>411</v>
      </c>
      <c r="B269" s="1" t="str">
        <f ca="1">IFERROR(__xludf.DUMMYFUNCTION("GOOGLETRANSLATE(A269, ""en"", ""fr"")"),"ASSURER")</f>
        <v>ASSURER</v>
      </c>
      <c r="H269" s="1" t="s">
        <v>4964</v>
      </c>
    </row>
    <row r="270" spans="1:142" ht="14.25" customHeight="1" x14ac:dyDescent="0.3">
      <c r="A270" s="1" t="s">
        <v>412</v>
      </c>
      <c r="B270" s="1" t="str">
        <f ca="1">IFERROR(__xludf.DUMMYFUNCTION("GOOGLETRANSLATE(A270, ""en"", ""fr"")"),"ASSURÉ")</f>
        <v>ASSURÉ</v>
      </c>
      <c r="H270" s="1" t="s">
        <v>4964</v>
      </c>
    </row>
    <row r="271" spans="1:142" ht="14.25" customHeight="1" x14ac:dyDescent="0.3">
      <c r="A271" s="1" t="s">
        <v>413</v>
      </c>
      <c r="B271" s="1" t="str">
        <f ca="1">IFERROR(__xludf.DUMMYFUNCTION("GOOGLETRANSLATE(A271, ""en"", ""fr"")"),"Assure")</f>
        <v>Assure</v>
      </c>
      <c r="H271" s="1" t="s">
        <v>4964</v>
      </c>
    </row>
    <row r="272" spans="1:142" ht="14.25" customHeight="1" x14ac:dyDescent="0.3">
      <c r="A272" s="1" t="s">
        <v>414</v>
      </c>
      <c r="B272" s="1" t="str">
        <f ca="1">IFERROR(__xludf.DUMMYFUNCTION("GOOGLETRANSLATE(A272, ""en"", ""fr"")"),"Assurance")</f>
        <v>Assurance</v>
      </c>
      <c r="H272" s="1" t="s">
        <v>4964</v>
      </c>
    </row>
    <row r="273" spans="1:141" ht="14.25" customHeight="1" x14ac:dyDescent="0.3">
      <c r="A273" s="1" t="s">
        <v>415</v>
      </c>
      <c r="B273" s="1" t="str">
        <f ca="1">IFERROR(__xludf.DUMMYFUNCTION("GOOGLETRANSLATE(A273, ""en"", ""fr"")"),"choc asymétrique")</f>
        <v>choc asymétrique</v>
      </c>
      <c r="M273" s="1" t="s">
        <v>10</v>
      </c>
    </row>
    <row r="274" spans="1:141" ht="14.25" customHeight="1" x14ac:dyDescent="0.3">
      <c r="A274" s="1" t="s">
        <v>416</v>
      </c>
      <c r="B274" s="1" t="str">
        <f ca="1">IFERROR(__xludf.DUMMYFUNCTION("GOOGLETRANSLATE(A274, ""en"", ""fr"")"),"à")</f>
        <v>à</v>
      </c>
      <c r="J274" s="1" t="s">
        <v>7</v>
      </c>
    </row>
    <row r="275" spans="1:141" ht="14.25" customHeight="1" x14ac:dyDescent="0.3">
      <c r="A275" s="1" t="s">
        <v>417</v>
      </c>
      <c r="B275" s="1" t="str">
        <f ca="1">IFERROR(__xludf.DUMMYFUNCTION("GOOGLETRANSLATE(A275, ""en"", ""fr"")"),"ATTEINDRE")</f>
        <v>ATTEINDRE</v>
      </c>
      <c r="H275" s="1" t="s">
        <v>4964</v>
      </c>
    </row>
    <row r="276" spans="1:141" ht="14.25" customHeight="1" x14ac:dyDescent="0.3">
      <c r="A276" s="1" t="s">
        <v>418</v>
      </c>
      <c r="B276" s="1" t="str">
        <f ca="1">IFERROR(__xludf.DUMMYFUNCTION("GOOGLETRANSLATE(A276, ""en"", ""fr"")"),"Atteint")</f>
        <v>Atteint</v>
      </c>
      <c r="H276" s="1" t="s">
        <v>4964</v>
      </c>
    </row>
    <row r="277" spans="1:141" ht="14.25" customHeight="1" x14ac:dyDescent="0.3">
      <c r="A277" s="1" t="s">
        <v>419</v>
      </c>
      <c r="B277" s="1" t="str">
        <f ca="1">IFERROR(__xludf.DUMMYFUNCTION("GOOGLETRANSLATE(A277, ""en"", ""fr"")"),"Réalisation")</f>
        <v>Réalisation</v>
      </c>
      <c r="H277" s="1" t="s">
        <v>4964</v>
      </c>
    </row>
    <row r="278" spans="1:141" ht="14.25" customHeight="1" x14ac:dyDescent="0.3">
      <c r="A278" s="1" t="s">
        <v>420</v>
      </c>
      <c r="B278" s="1" t="str">
        <f ca="1">IFERROR(__xludf.DUMMYFUNCTION("GOOGLETRANSLATE(A278, ""en"", ""fr"")"),"RÉALISATION")</f>
        <v>RÉALISATION</v>
      </c>
      <c r="H278" s="1" t="s">
        <v>4964</v>
      </c>
    </row>
    <row r="279" spans="1:141" ht="14.25" customHeight="1" x14ac:dyDescent="0.3">
      <c r="A279" s="1" t="s">
        <v>421</v>
      </c>
      <c r="B279" s="1" t="str">
        <f ca="1">IFERROR(__xludf.DUMMYFUNCTION("GOOGLETRANSLATE(A279, ""en"", ""fr"")"),"Réalisations")</f>
        <v>Réalisations</v>
      </c>
      <c r="H279" s="1" t="s">
        <v>4964</v>
      </c>
    </row>
    <row r="280" spans="1:141" ht="14.25" customHeight="1" x14ac:dyDescent="0.3">
      <c r="A280" s="1" t="s">
        <v>422</v>
      </c>
      <c r="B280" s="1" t="str">
        <f ca="1">IFERROR(__xludf.DUMMYFUNCTION("GOOGLETRANSLATE(A280, ""en"", ""fr"")"),"Atteindre")</f>
        <v>Atteindre</v>
      </c>
      <c r="H280" s="1" t="s">
        <v>4964</v>
      </c>
    </row>
    <row r="281" spans="1:141" ht="14.25" customHeight="1" x14ac:dyDescent="0.3">
      <c r="A281" s="1" t="s">
        <v>423</v>
      </c>
      <c r="B281" s="1" t="str">
        <f ca="1">IFERROR(__xludf.DUMMYFUNCTION("GOOGLETRANSLATE(A281, ""en"", ""fr"")"),"Attaka")</f>
        <v>Attaka</v>
      </c>
      <c r="R281" s="1" t="s">
        <v>15</v>
      </c>
      <c r="CS281" s="1" t="s">
        <v>94</v>
      </c>
    </row>
    <row r="282" spans="1:141" ht="14.25" customHeight="1" x14ac:dyDescent="0.3">
      <c r="A282" s="1" t="s">
        <v>424</v>
      </c>
      <c r="B282" s="1" t="str">
        <f ca="1">IFERROR(__xludf.DUMMYFUNCTION("GOOGLETRANSLATE(A282, ""en"", ""fr"")"),"ATTRACTIF")</f>
        <v>ATTRACTIF</v>
      </c>
      <c r="H282" s="1" t="s">
        <v>4964</v>
      </c>
    </row>
    <row r="283" spans="1:141" ht="14.25" customHeight="1" x14ac:dyDescent="0.3">
      <c r="A283" s="1" t="s">
        <v>425</v>
      </c>
      <c r="B283" s="1" t="str">
        <f ca="1">IFERROR(__xludf.DUMMYFUNCTION("GOOGLETRANSLATE(A283, ""en"", ""fr"")"),"ATTRACTION")</f>
        <v>ATTRACTION</v>
      </c>
      <c r="H283" s="1" t="s">
        <v>4964</v>
      </c>
    </row>
    <row r="284" spans="1:141" ht="14.25" customHeight="1" x14ac:dyDescent="0.3">
      <c r="A284" s="1" t="s">
        <v>426</v>
      </c>
      <c r="B284" s="1" t="str">
        <f ca="1">IFERROR(__xludf.DUMMYFUNCTION("GOOGLETRANSLATE(A284, ""en"", ""fr"")"),"USURE")</f>
        <v>USURE</v>
      </c>
      <c r="D284" s="1" t="s">
        <v>4963</v>
      </c>
    </row>
    <row r="285" spans="1:141" ht="14.25" customHeight="1" x14ac:dyDescent="0.3">
      <c r="A285" s="1" t="s">
        <v>427</v>
      </c>
      <c r="B285" s="1" t="str">
        <f ca="1">IFERROR(__xludf.DUMMYFUNCTION("GOOGLETRANSLATE(A285, ""en"", ""fr"")"),"août")</f>
        <v>août</v>
      </c>
      <c r="J285" s="1" t="s">
        <v>7</v>
      </c>
    </row>
    <row r="286" spans="1:141" ht="14.25" customHeight="1" x14ac:dyDescent="0.3">
      <c r="A286" s="1" t="s">
        <v>428</v>
      </c>
      <c r="B286" s="1" t="str">
        <f ca="1">IFERROR(__xludf.DUMMYFUNCTION("GOOGLETRANSLATE(A286, ""en"", ""fr"")"),"août")</f>
        <v>août</v>
      </c>
      <c r="J286" s="1" t="s">
        <v>7</v>
      </c>
    </row>
    <row r="287" spans="1:141" ht="14.25" customHeight="1" x14ac:dyDescent="0.3">
      <c r="A287" s="1" t="s">
        <v>429</v>
      </c>
      <c r="B287" s="1" t="str">
        <f ca="1">IFERROR(__xludf.DUMMYFUNCTION("GOOGLETRANSLATE(A287, ""en"", ""fr"")"),"Australie")</f>
        <v>Australie</v>
      </c>
      <c r="DS287" s="1" t="s">
        <v>120</v>
      </c>
      <c r="EK287" s="1" t="s">
        <v>138</v>
      </c>
    </row>
    <row r="288" spans="1:141" ht="14.25" customHeight="1" x14ac:dyDescent="0.3">
      <c r="A288" s="1" t="s">
        <v>430</v>
      </c>
      <c r="B288" s="1" t="str">
        <f ca="1">IFERROR(__xludf.DUMMYFUNCTION("GOOGLETRANSLATE(A288, ""en"", ""fr"")"),"Ventes automobiles et camions")</f>
        <v>Ventes automobiles et camions</v>
      </c>
      <c r="M288" s="1" t="s">
        <v>10</v>
      </c>
    </row>
    <row r="289" spans="1:108" ht="14.25" customHeight="1" x14ac:dyDescent="0.3">
      <c r="A289" s="1" t="s">
        <v>431</v>
      </c>
      <c r="B289" s="1" t="str">
        <f ca="1">IFERROR(__xludf.DUMMYFUNCTION("GOOGLETRANSLATE(A289, ""en"", ""fr"")"),"stabilisateurs automatiques")</f>
        <v>stabilisateurs automatiques</v>
      </c>
      <c r="M289" s="1" t="s">
        <v>10</v>
      </c>
    </row>
    <row r="290" spans="1:108" ht="14.25" customHeight="1" x14ac:dyDescent="0.3">
      <c r="A290" s="1" t="s">
        <v>432</v>
      </c>
      <c r="B290" s="1" t="str">
        <f ca="1">IFERROR(__xludf.DUMMYFUNCTION("GOOGLETRANSLATE(A290, ""en"", ""fr"")"),"consommation autonome")</f>
        <v>consommation autonome</v>
      </c>
      <c r="M290" s="1" t="s">
        <v>10</v>
      </c>
    </row>
    <row r="291" spans="1:108" ht="14.25" customHeight="1" x14ac:dyDescent="0.3">
      <c r="A291" s="1" t="s">
        <v>433</v>
      </c>
      <c r="B291" s="1" t="str">
        <f ca="1">IFERROR(__xludf.DUMMYFUNCTION("GOOGLETRANSLATE(A291, ""en"", ""fr"")"),"dépenses autonomes")</f>
        <v>dépenses autonomes</v>
      </c>
      <c r="M291" s="1" t="s">
        <v>10</v>
      </c>
    </row>
    <row r="292" spans="1:108" ht="14.25" customHeight="1" x14ac:dyDescent="0.3">
      <c r="A292" s="1" t="s">
        <v>434</v>
      </c>
      <c r="B292" s="1" t="str">
        <f ca="1">IFERROR(__xludf.DUMMYFUNCTION("GOOGLETRANSLATE(A292, ""en"", ""fr"")"),"hétéroscédasticité conditionnelle autorégressive")</f>
        <v>hétéroscédasticité conditionnelle autorégressive</v>
      </c>
      <c r="M292" s="1" t="s">
        <v>10</v>
      </c>
    </row>
    <row r="293" spans="1:108" ht="14.25" customHeight="1" x14ac:dyDescent="0.3">
      <c r="A293" s="1" t="s">
        <v>435</v>
      </c>
      <c r="B293" s="1" t="str">
        <f ca="1">IFERROR(__xludf.DUMMYFUNCTION("GOOGLETRANSLATE(A293, ""en"", ""fr"")"),"rendement annuel moyen")</f>
        <v>rendement annuel moyen</v>
      </c>
      <c r="CR293" s="1" t="s">
        <v>93</v>
      </c>
    </row>
    <row r="294" spans="1:108" ht="14.25" customHeight="1" x14ac:dyDescent="0.3">
      <c r="A294" s="1" t="s">
        <v>436</v>
      </c>
      <c r="B294" s="1" t="str">
        <f ca="1">IFERROR(__xludf.DUMMYFUNCTION("GOOGLETRANSLATE(A294, ""en"", ""fr"")"),"coût moyen")</f>
        <v>coût moyen</v>
      </c>
      <c r="CR294" s="1" t="s">
        <v>93</v>
      </c>
    </row>
    <row r="295" spans="1:108" ht="14.25" customHeight="1" x14ac:dyDescent="0.3">
      <c r="A295" s="1" t="s">
        <v>437</v>
      </c>
      <c r="B295" s="1" t="str">
        <f ca="1">IFERROR(__xludf.DUMMYFUNCTION("GOOGLETRANSLATE(A295, ""en"", ""fr"")"),"gains horaires moyens")</f>
        <v>gains horaires moyens</v>
      </c>
      <c r="M295" s="1" t="s">
        <v>10</v>
      </c>
    </row>
    <row r="296" spans="1:108" ht="14.25" customHeight="1" x14ac:dyDescent="0.3">
      <c r="A296" s="1" t="s">
        <v>438</v>
      </c>
      <c r="B296" s="1" t="str">
        <f ca="1">IFERROR(__xludf.DUMMYFUNCTION("GOOGLETRANSLATE(A296, ""en"", ""fr"")"),"semaine de travail moyenne")</f>
        <v>semaine de travail moyenne</v>
      </c>
      <c r="M296" s="1" t="s">
        <v>10</v>
      </c>
    </row>
    <row r="297" spans="1:108" ht="14.25" customHeight="1" x14ac:dyDescent="0.3">
      <c r="A297" s="1" t="s">
        <v>439</v>
      </c>
      <c r="B297" s="1" t="str">
        <f ca="1">IFERROR(__xludf.DUMMYFUNCTION("GOOGLETRANSLATE(A297, ""en"", ""fr"")"),"À l'inversement")</f>
        <v>À l'inversement</v>
      </c>
      <c r="D297" s="1" t="s">
        <v>4963</v>
      </c>
    </row>
    <row r="298" spans="1:108" ht="14.25" customHeight="1" x14ac:dyDescent="0.3">
      <c r="A298" s="1" t="s">
        <v>440</v>
      </c>
      <c r="B298" s="1" t="str">
        <f ca="1">IFERROR(__xludf.DUMMYFUNCTION("GOOGLETRANSLATE(A298, ""en"", ""fr"")"),"awali")</f>
        <v>awali</v>
      </c>
      <c r="BS298" s="1" t="s">
        <v>68</v>
      </c>
      <c r="CJ298" s="1" t="s">
        <v>85</v>
      </c>
      <c r="DD298" s="1" t="s">
        <v>105</v>
      </c>
    </row>
    <row r="299" spans="1:108" ht="14.25" customHeight="1" x14ac:dyDescent="0.3">
      <c r="A299" s="1" t="s">
        <v>441</v>
      </c>
      <c r="B299" s="1" t="str">
        <f ca="1">IFERROR(__xludf.DUMMYFUNCTION("GOOGLETRANSLATE(A299, ""en"", ""fr"")"),"Ayasheast-odoptu")</f>
        <v>Ayasheast-odoptu</v>
      </c>
      <c r="AK299" s="1" t="s">
        <v>34</v>
      </c>
      <c r="BH299" s="1" t="s">
        <v>57</v>
      </c>
      <c r="BW299" s="1" t="s">
        <v>72</v>
      </c>
      <c r="DD299" s="1" t="s">
        <v>105</v>
      </c>
    </row>
    <row r="300" spans="1:108" ht="14.25" customHeight="1" x14ac:dyDescent="0.3">
      <c r="A300" s="1" t="s">
        <v>442</v>
      </c>
      <c r="B300" s="1" t="str">
        <f ca="1">IFERROR(__xludf.DUMMYFUNCTION("GOOGLETRANSLATE(A300, ""en"", ""fr"")"),"azadegan")</f>
        <v>azadegan</v>
      </c>
      <c r="AU300" s="1" t="s">
        <v>44</v>
      </c>
      <c r="BK300" s="1" t="s">
        <v>60</v>
      </c>
      <c r="DD300" s="1" t="s">
        <v>105</v>
      </c>
    </row>
    <row r="301" spans="1:108" ht="14.25" customHeight="1" x14ac:dyDescent="0.3">
      <c r="A301" s="1" t="s">
        <v>443</v>
      </c>
      <c r="B301" s="1" t="str">
        <f ca="1">IFERROR(__xludf.DUMMYFUNCTION("GOOGLETRANSLATE(A301, ""en"", ""fr"")"),"BTC AZERI")</f>
        <v>BTC AZERI</v>
      </c>
      <c r="R301" s="1" t="s">
        <v>15</v>
      </c>
      <c r="CS301" s="1" t="s">
        <v>94</v>
      </c>
    </row>
    <row r="302" spans="1:108" ht="14.25" customHeight="1" x14ac:dyDescent="0.3">
      <c r="A302" s="1" t="s">
        <v>444</v>
      </c>
      <c r="B302" s="1" t="str">
        <f ca="1">IFERROR(__xludf.DUMMYFUNCTION("GOOGLETRANSLATE(A302, ""en"", ""fr"")"),"Lumière azérante")</f>
        <v>Lumière azérante</v>
      </c>
      <c r="R302" s="1" t="s">
        <v>15</v>
      </c>
      <c r="CS302" s="1" t="s">
        <v>94</v>
      </c>
    </row>
    <row r="303" spans="1:108" ht="14.25" customHeight="1" x14ac:dyDescent="0.3">
      <c r="A303" s="1" t="s">
        <v>445</v>
      </c>
      <c r="B303" s="1" t="str">
        <f ca="1">IFERROR(__xludf.DUMMYFUNCTION("GOOGLETRANSLATE(A303, ""en"", ""fr"")"),"azeri-chirag-guneshli")</f>
        <v>azeri-chirag-guneshli</v>
      </c>
      <c r="AK303" s="1" t="s">
        <v>34</v>
      </c>
      <c r="AT303" s="1" t="s">
        <v>43</v>
      </c>
      <c r="DD303" s="1" t="s">
        <v>105</v>
      </c>
    </row>
    <row r="304" spans="1:108" ht="14.25" customHeight="1" x14ac:dyDescent="0.3">
      <c r="A304" s="1" t="s">
        <v>446</v>
      </c>
      <c r="B304" s="1" t="str">
        <f ca="1">IFERROR(__xludf.DUMMYFUNCTION("GOOGLETRANSLATE(A304, ""en"", ""fr"")"),"azzubayr")</f>
        <v>azzubayr</v>
      </c>
      <c r="AU304" s="1" t="s">
        <v>44</v>
      </c>
      <c r="BE304" s="1" t="s">
        <v>54</v>
      </c>
      <c r="BS304" s="1" t="s">
        <v>68</v>
      </c>
      <c r="DD304" s="1" t="s">
        <v>105</v>
      </c>
    </row>
    <row r="305" spans="1:121" ht="14.25" customHeight="1" x14ac:dyDescent="0.3">
      <c r="A305" s="1" t="s">
        <v>447</v>
      </c>
      <c r="B305" s="1" t="str">
        <f ca="1">IFERROR(__xludf.DUMMYFUNCTION("GOOGLETRANSLATE(A305, ""en"", ""fr"")"),"baby-boomers")</f>
        <v>baby-boomers</v>
      </c>
      <c r="M305" s="1" t="s">
        <v>10</v>
      </c>
    </row>
    <row r="306" spans="1:121" ht="14.25" customHeight="1" x14ac:dyDescent="0.3">
      <c r="A306" s="1" t="s">
        <v>448</v>
      </c>
      <c r="B306" s="1" t="str">
        <f ca="1">IFERROR(__xludf.DUMMYFUNCTION("GOOGLETRANSLATE(A306, ""en"", ""fr"")"),"Bach ho")</f>
        <v>Bach ho</v>
      </c>
      <c r="R306" s="1" t="s">
        <v>15</v>
      </c>
      <c r="CS306" s="1" t="s">
        <v>94</v>
      </c>
    </row>
    <row r="307" spans="1:121" ht="14.25" customHeight="1" x14ac:dyDescent="0.3">
      <c r="A307" s="1" t="s">
        <v>449</v>
      </c>
      <c r="B307" s="1" t="str">
        <f ca="1">IFERROR(__xludf.DUMMYFUNCTION("GOOGLETRANSLATE(A307, ""en"", ""fr"")"),"Bachaquero 17")</f>
        <v>Bachaquero 17</v>
      </c>
      <c r="R307" s="1" t="s">
        <v>15</v>
      </c>
      <c r="CS307" s="1" t="s">
        <v>94</v>
      </c>
    </row>
    <row r="308" spans="1:121" ht="14.25" customHeight="1" x14ac:dyDescent="0.3">
      <c r="A308" s="1" t="s">
        <v>450</v>
      </c>
      <c r="B308" s="1" t="str">
        <f ca="1">IFERROR(__xludf.DUMMYFUNCTION("GOOGLETRANSLATE(A308, ""en"", ""fr"")"),"Bachaquero 24")</f>
        <v>Bachaquero 24</v>
      </c>
      <c r="R308" s="1" t="s">
        <v>15</v>
      </c>
      <c r="CS308" s="1" t="s">
        <v>94</v>
      </c>
    </row>
    <row r="309" spans="1:121" ht="14.25" customHeight="1" x14ac:dyDescent="0.3">
      <c r="A309" s="1" t="s">
        <v>451</v>
      </c>
      <c r="B309" s="1" t="str">
        <f ca="1">IFERROR(__xludf.DUMMYFUNCTION("GOOGLETRANSLATE(A309, ""en"", ""fr"")"),"porte arrière")</f>
        <v>porte arrière</v>
      </c>
      <c r="M309" s="1" t="s">
        <v>10</v>
      </c>
    </row>
    <row r="310" spans="1:121" ht="14.25" customHeight="1" x14ac:dyDescent="0.3">
      <c r="A310" s="1" t="s">
        <v>452</v>
      </c>
      <c r="B310" s="1" t="str">
        <f ca="1">IFERROR(__xludf.DUMMYFUNCTION("GOOGLETRANSLATE(A310, ""en"", ""fr"")"),"financement de porte arrière")</f>
        <v>financement de porte arrière</v>
      </c>
      <c r="M310" s="1" t="s">
        <v>10</v>
      </c>
    </row>
    <row r="311" spans="1:121" ht="14.25" customHeight="1" x14ac:dyDescent="0.3">
      <c r="A311" s="1" t="s">
        <v>453</v>
      </c>
      <c r="B311" s="1" t="str">
        <f ca="1">IFERROR(__xludf.DUMMYFUNCTION("GOOGLETRANSLATE(A311, ""en"", ""fr"")"),"Arrière")</f>
        <v>Arrière</v>
      </c>
      <c r="D311" s="1" t="s">
        <v>4963</v>
      </c>
    </row>
    <row r="312" spans="1:121" ht="14.25" customHeight="1" x14ac:dyDescent="0.3">
      <c r="A312" s="1" t="s">
        <v>454</v>
      </c>
      <c r="B312" s="1" t="str">
        <f ca="1">IFERROR(__xludf.DUMMYFUNCTION("GOOGLETRANSLATE(A312, ""en"", ""fr"")"),"MAUVAIS")</f>
        <v>MAUVAIS</v>
      </c>
      <c r="D312" s="1" t="s">
        <v>4963</v>
      </c>
    </row>
    <row r="313" spans="1:121" ht="14.25" customHeight="1" x14ac:dyDescent="0.3">
      <c r="A313" s="1" t="s">
        <v>455</v>
      </c>
      <c r="B313" s="1" t="str">
        <f ca="1">IFERROR(__xludf.DUMMYFUNCTION("GOOGLETRANSLATE(A313, ""en"", ""fr"")"),"Mauvaise charge de la dette")</f>
        <v>Mauvaise charge de la dette</v>
      </c>
      <c r="CR313" s="1" t="s">
        <v>93</v>
      </c>
    </row>
    <row r="314" spans="1:121" ht="14.25" customHeight="1" x14ac:dyDescent="0.3">
      <c r="A314" s="1" t="s">
        <v>456</v>
      </c>
      <c r="B314" s="1" t="str">
        <f ca="1">IFERROR(__xludf.DUMMYFUNCTION("GOOGLETRANSLATE(A314, ""en"", ""fr"")"),"raffinerie de baiji nord")</f>
        <v>raffinerie de baiji nord</v>
      </c>
      <c r="BF314" s="1" t="s">
        <v>55</v>
      </c>
      <c r="CG314" s="1" t="s">
        <v>82</v>
      </c>
      <c r="CL314" s="1" t="s">
        <v>87</v>
      </c>
      <c r="DJ314" s="1" t="s">
        <v>111</v>
      </c>
      <c r="DQ314" s="1" t="s">
        <v>118</v>
      </c>
    </row>
    <row r="315" spans="1:121" ht="14.25" customHeight="1" x14ac:dyDescent="0.3">
      <c r="A315" s="1" t="s">
        <v>457</v>
      </c>
      <c r="B315" s="1" t="str">
        <f ca="1">IFERROR(__xludf.DUMMYFUNCTION("GOOGLETRANSLATE(A315, ""en"", ""fr"")"),"CAUTION")</f>
        <v>CAUTION</v>
      </c>
      <c r="D315" s="1" t="s">
        <v>4963</v>
      </c>
    </row>
    <row r="316" spans="1:121" ht="14.25" customHeight="1" x14ac:dyDescent="0.3">
      <c r="A316" s="1" t="s">
        <v>458</v>
      </c>
      <c r="B316" s="1" t="str">
        <f ca="1">IFERROR(__xludf.DUMMYFUNCTION("GOOGLETRANSLATE(A316, ""en"", ""fr"")"),"renflouement")</f>
        <v>renflouement</v>
      </c>
      <c r="M316" s="1" t="s">
        <v>10</v>
      </c>
    </row>
    <row r="317" spans="1:121" ht="14.25" customHeight="1" x14ac:dyDescent="0.3">
      <c r="A317" s="1" t="s">
        <v>459</v>
      </c>
      <c r="B317" s="1" t="str">
        <f ca="1">IFERROR(__xludf.DUMMYFUNCTION("GOOGLETRANSLATE(A317, ""en"", ""fr"")"),"balance des paiements")</f>
        <v>balance des paiements</v>
      </c>
      <c r="M317" s="1" t="s">
        <v>10</v>
      </c>
    </row>
    <row r="318" spans="1:121" ht="14.25" customHeight="1" x14ac:dyDescent="0.3">
      <c r="A318" s="1" t="s">
        <v>460</v>
      </c>
      <c r="B318" s="1" t="str">
        <f ca="1">IFERROR(__xludf.DUMMYFUNCTION("GOOGLETRANSLATE(A318, ""en"", ""fr"")"),"équilibre des risques")</f>
        <v>équilibre des risques</v>
      </c>
      <c r="M318" s="1" t="s">
        <v>10</v>
      </c>
    </row>
    <row r="319" spans="1:121" ht="14.25" customHeight="1" x14ac:dyDescent="0.3">
      <c r="A319" s="1" t="s">
        <v>461</v>
      </c>
      <c r="B319" s="1" t="str">
        <f ca="1">IFERROR(__xludf.DUMMYFUNCTION("GOOGLETRANSLATE(A319, ""en"", ""fr"")"),"balance commerciale")</f>
        <v>balance commerciale</v>
      </c>
      <c r="M319" s="1" t="s">
        <v>10</v>
      </c>
    </row>
    <row r="320" spans="1:121" ht="14.25" customHeight="1" x14ac:dyDescent="0.3">
      <c r="A320" s="1" t="s">
        <v>462</v>
      </c>
      <c r="B320" s="1" t="str">
        <f ca="1">IFERROR(__xludf.DUMMYFUNCTION("GOOGLETRANSLATE(A320, ""en"", ""fr"")"),"bilan")</f>
        <v>bilan</v>
      </c>
      <c r="CR320" s="1" t="s">
        <v>93</v>
      </c>
    </row>
    <row r="321" spans="1:132" ht="14.25" customHeight="1" x14ac:dyDescent="0.3">
      <c r="A321" s="1" t="s">
        <v>463</v>
      </c>
      <c r="B321" s="1" t="str">
        <f ca="1">IFERROR(__xludf.DUMMYFUNCTION("GOOGLETRANSLATE(A321, ""en"", ""fr"")"),"théorie de l'équilibre")</f>
        <v>théorie de l'équilibre</v>
      </c>
      <c r="M321" s="1" t="s">
        <v>10</v>
      </c>
    </row>
    <row r="322" spans="1:132" ht="14.25" customHeight="1" x14ac:dyDescent="0.3">
      <c r="A322" s="1" t="s">
        <v>464</v>
      </c>
      <c r="B322" s="1" t="str">
        <f ca="1">IFERROR(__xludf.DUMMYFUNCTION("GOOGLETRANSLATE(A322, ""en"", ""fr"")"),"budget équilibré")</f>
        <v>budget équilibré</v>
      </c>
      <c r="M322" s="1" t="s">
        <v>10</v>
      </c>
    </row>
    <row r="323" spans="1:132" ht="14.25" customHeight="1" x14ac:dyDescent="0.3">
      <c r="A323" s="1" t="s">
        <v>465</v>
      </c>
      <c r="B323" s="1" t="str">
        <f ca="1">IFERROR(__xludf.DUMMYFUNCTION("GOOGLETRANSLATE(A323, ""en"", ""fr"")"),"Plus bouctif")</f>
        <v>Plus bouctif</v>
      </c>
      <c r="R323" s="1" t="s">
        <v>15</v>
      </c>
      <c r="CS323" s="1" t="s">
        <v>94</v>
      </c>
    </row>
    <row r="324" spans="1:132" ht="14.25" customHeight="1" x14ac:dyDescent="0.3">
      <c r="A324" s="1" t="s">
        <v>466</v>
      </c>
      <c r="B324" s="1" t="str">
        <f ca="1">IFERROR(__xludf.DUMMYFUNCTION("GOOGLETRANSLATE(A324, ""en"", ""fr"")"),"raffinerie de Balikpapan")</f>
        <v>raffinerie de Balikpapan</v>
      </c>
      <c r="BF324" s="1" t="s">
        <v>55</v>
      </c>
      <c r="CL324" s="1" t="s">
        <v>87</v>
      </c>
      <c r="DN324" s="1" t="s">
        <v>115</v>
      </c>
      <c r="EB324" s="1" t="s">
        <v>129</v>
      </c>
    </row>
    <row r="325" spans="1:132" ht="14.25" customHeight="1" x14ac:dyDescent="0.3">
      <c r="A325" s="1" t="s">
        <v>467</v>
      </c>
      <c r="B325" s="1" t="str">
        <f ca="1">IFERROR(__xludf.DUMMYFUNCTION("GOOGLETRANSLATE(A325, ""en"", ""fr"")"),"Reculer")</f>
        <v>Reculer</v>
      </c>
      <c r="D325" s="1" t="s">
        <v>4963</v>
      </c>
    </row>
    <row r="326" spans="1:132" ht="14.25" customHeight="1" x14ac:dyDescent="0.3">
      <c r="A326" s="1" t="s">
        <v>468</v>
      </c>
      <c r="B326" s="1" t="str">
        <f ca="1">IFERROR(__xludf.DUMMYFUNCTION("GOOGLETRANSLATE(A326, ""en"", ""fr"")"),"Rechigné")</f>
        <v>Rechigné</v>
      </c>
      <c r="D326" s="1" t="s">
        <v>4963</v>
      </c>
    </row>
    <row r="327" spans="1:132" ht="14.25" customHeight="1" x14ac:dyDescent="0.3">
      <c r="A327" s="1" t="s">
        <v>469</v>
      </c>
      <c r="B327" s="1" t="str">
        <f ca="1">IFERROR(__xludf.DUMMYFUNCTION("GOOGLETRANSLATE(A327, ""en"", ""fr"")"),"index de la baltique sèche")</f>
        <v>index de la baltique sèche</v>
      </c>
      <c r="M327" s="1" t="s">
        <v>10</v>
      </c>
    </row>
    <row r="328" spans="1:132" ht="14.25" customHeight="1" x14ac:dyDescent="0.3">
      <c r="A328" s="1" t="s">
        <v>470</v>
      </c>
      <c r="B328" s="1" t="str">
        <f ca="1">IFERROR(__xludf.DUMMYFUNCTION("GOOGLETRANSLATE(A328, ""en"", ""fr"")"),"raffinerie d'huile de Bandar Abbas")</f>
        <v>raffinerie d'huile de Bandar Abbas</v>
      </c>
      <c r="BF328" s="1" t="s">
        <v>55</v>
      </c>
      <c r="BT328" s="1" t="s">
        <v>69</v>
      </c>
      <c r="CA328" s="1" t="s">
        <v>76</v>
      </c>
      <c r="CL328" s="1" t="s">
        <v>87</v>
      </c>
      <c r="EB328" s="1" t="s">
        <v>129</v>
      </c>
    </row>
    <row r="329" spans="1:132" ht="14.25" customHeight="1" x14ac:dyDescent="0.3">
      <c r="A329" s="1" t="s">
        <v>471</v>
      </c>
      <c r="B329" s="1" t="str">
        <f ca="1">IFERROR(__xludf.DUMMYFUNCTION("GOOGLETRANSLATE(A329, ""en"", ""fr"")"),"Banque d'Amérique")</f>
        <v>Banque d'Amérique</v>
      </c>
      <c r="CR329" s="1" t="s">
        <v>93</v>
      </c>
    </row>
    <row r="330" spans="1:132" ht="14.25" customHeight="1" x14ac:dyDescent="0.3">
      <c r="A330" s="1" t="s">
        <v>472</v>
      </c>
      <c r="B330" s="1" t="str">
        <f ca="1">IFERROR(__xludf.DUMMYFUNCTION("GOOGLETRANSLATE(A330, ""en"", ""fr"")"),"le taux bancaire")</f>
        <v>le taux bancaire</v>
      </c>
      <c r="M330" s="1" t="s">
        <v>10</v>
      </c>
    </row>
    <row r="331" spans="1:132" ht="14.25" customHeight="1" x14ac:dyDescent="0.3">
      <c r="A331" s="1" t="s">
        <v>473</v>
      </c>
      <c r="B331" s="1" t="str">
        <f ca="1">IFERROR(__xludf.DUMMYFUNCTION("GOOGLETRANSLATE(A331, ""en"", ""fr"")"),"crise bancaire")</f>
        <v>crise bancaire</v>
      </c>
      <c r="AO331" s="1" t="s">
        <v>38</v>
      </c>
      <c r="CR331" s="1" t="s">
        <v>93</v>
      </c>
    </row>
    <row r="332" spans="1:132" ht="14.25" customHeight="1" x14ac:dyDescent="0.3">
      <c r="A332" s="1" t="s">
        <v>474</v>
      </c>
      <c r="B332" s="1" t="str">
        <f ca="1">IFERROR(__xludf.DUMMYFUNCTION("GOOGLETRANSLATE(A332, ""en"", ""fr"")"),"supervision bancaire")</f>
        <v>supervision bancaire</v>
      </c>
      <c r="M332" s="1" t="s">
        <v>10</v>
      </c>
    </row>
    <row r="333" spans="1:132" ht="14.25" customHeight="1" x14ac:dyDescent="0.3">
      <c r="A333" s="1" t="s">
        <v>475</v>
      </c>
      <c r="B333" s="1" t="str">
        <f ca="1">IFERROR(__xludf.DUMMYFUNCTION("GOOGLETRANSLATE(A333, ""en"", ""fr"")"),"FAILLITE")</f>
        <v>FAILLITE</v>
      </c>
      <c r="D333" s="1" t="s">
        <v>4963</v>
      </c>
    </row>
    <row r="334" spans="1:132" ht="14.25" customHeight="1" x14ac:dyDescent="0.3">
      <c r="A334" s="1" t="s">
        <v>476</v>
      </c>
      <c r="B334" s="1" t="str">
        <f ca="1">IFERROR(__xludf.DUMMYFUNCTION("GOOGLETRANSLATE(A334, ""en"", ""fr"")"),"Faillites")</f>
        <v>Faillites</v>
      </c>
      <c r="D334" s="1" t="s">
        <v>4963</v>
      </c>
    </row>
    <row r="335" spans="1:132" ht="14.25" customHeight="1" x14ac:dyDescent="0.3">
      <c r="A335" s="1" t="s">
        <v>477</v>
      </c>
      <c r="B335" s="1" t="str">
        <f ca="1">IFERROR(__xludf.DUMMYFUNCTION("GOOGLETRANSLATE(A335, ""en"", ""fr"")"),"LA FAILLITE")</f>
        <v>LA FAILLITE</v>
      </c>
      <c r="D335" s="1" t="s">
        <v>4963</v>
      </c>
    </row>
    <row r="336" spans="1:132" ht="14.25" customHeight="1" x14ac:dyDescent="0.3">
      <c r="A336" s="1" t="s">
        <v>478</v>
      </c>
      <c r="B336" s="1" t="str">
        <f ca="1">IFERROR(__xludf.DUMMYFUNCTION("GOOGLETRANSLATE(A336, ""en"", ""fr"")"),"En fuite")</f>
        <v>En fuite</v>
      </c>
      <c r="D336" s="1" t="s">
        <v>4963</v>
      </c>
    </row>
    <row r="337" spans="1:138" ht="14.25" customHeight="1" x14ac:dyDescent="0.3">
      <c r="A337" s="1" t="s">
        <v>479</v>
      </c>
      <c r="B337" s="1" t="str">
        <f ca="1">IFERROR(__xludf.DUMMYFUNCTION("GOOGLETRANSLATE(A337, ""en"", ""fr"")"),"Faillite")</f>
        <v>Faillite</v>
      </c>
      <c r="D337" s="1" t="s">
        <v>4963</v>
      </c>
    </row>
    <row r="338" spans="1:138" ht="14.25" customHeight="1" x14ac:dyDescent="0.3">
      <c r="A338" s="1" t="s">
        <v>480</v>
      </c>
      <c r="B338" s="1" t="str">
        <f ca="1">IFERROR(__xludf.DUMMYFUNCTION("GOOGLETRANSLATE(A338, ""en"", ""fr"")"),"Faillite")</f>
        <v>Faillite</v>
      </c>
      <c r="D338" s="1" t="s">
        <v>4963</v>
      </c>
    </row>
    <row r="339" spans="1:138" ht="14.25" customHeight="1" x14ac:dyDescent="0.3">
      <c r="A339" s="1" t="s">
        <v>481</v>
      </c>
      <c r="B339" s="1" t="str">
        <f ca="1">IFERROR(__xludf.DUMMYFUNCTION("GOOGLETRANSLATE(A339, ""en"", ""fr"")"),"Interdictions")</f>
        <v>Interdictions</v>
      </c>
      <c r="D339" s="1" t="s">
        <v>4963</v>
      </c>
    </row>
    <row r="340" spans="1:138" ht="14.25" customHeight="1" x14ac:dyDescent="0.3">
      <c r="A340" s="1" t="s">
        <v>482</v>
      </c>
      <c r="B340" s="1" t="str">
        <f ca="1">IFERROR(__xludf.DUMMYFUNCTION("GOOGLETRANSLATE(A340, ""en"", ""fr"")"),"Baobab")</f>
        <v>Baobab</v>
      </c>
      <c r="R340" s="1" t="s">
        <v>15</v>
      </c>
      <c r="CS340" s="1" t="s">
        <v>94</v>
      </c>
    </row>
    <row r="341" spans="1:138" ht="14.25" customHeight="1" x14ac:dyDescent="0.3">
      <c r="A341" s="1" t="s">
        <v>483</v>
      </c>
      <c r="B341" s="1" t="str">
        <f ca="1">IFERROR(__xludf.DUMMYFUNCTION("GOOGLETRANSLATE(A341, ""en"", ""fr"")"),"baromètre")</f>
        <v>baromètre</v>
      </c>
      <c r="M341" s="1" t="s">
        <v>10</v>
      </c>
    </row>
    <row r="342" spans="1:138" ht="14.25" customHeight="1" x14ac:dyDescent="0.3">
      <c r="A342" s="1" t="s">
        <v>484</v>
      </c>
      <c r="B342" s="1" t="str">
        <f ca="1">IFERROR(__xludf.DUMMYFUNCTION("GOOGLETRANSLATE(A342, ""en"", ""fr"")"),"raffinerie de Barrancabermeja")</f>
        <v>raffinerie de Barrancabermeja</v>
      </c>
      <c r="S342" s="1" t="s">
        <v>16</v>
      </c>
      <c r="AQ342" s="1" t="s">
        <v>40</v>
      </c>
      <c r="BF342" s="1" t="s">
        <v>55</v>
      </c>
      <c r="EB342" s="1" t="s">
        <v>129</v>
      </c>
    </row>
    <row r="343" spans="1:138" ht="14.25" customHeight="1" x14ac:dyDescent="0.3">
      <c r="A343" s="1" t="s">
        <v>485</v>
      </c>
      <c r="B343" s="1" t="str">
        <f ca="1">IFERROR(__xludf.DUMMYFUNCTION("GOOGLETRANSLATE(A343, ""en"", ""fr"")"),"BARRÉ")</f>
        <v>BARRÉ</v>
      </c>
      <c r="D343" s="1" t="s">
        <v>4963</v>
      </c>
    </row>
    <row r="344" spans="1:138" ht="14.25" customHeight="1" x14ac:dyDescent="0.3">
      <c r="A344" s="1" t="s">
        <v>486</v>
      </c>
      <c r="B344" s="1" t="str">
        <f ca="1">IFERROR(__xludf.DUMMYFUNCTION("GOOGLETRANSLATE(A344, ""en"", ""fr"")"),"baril")</f>
        <v>baril</v>
      </c>
      <c r="CS344" s="1" t="s">
        <v>94</v>
      </c>
    </row>
    <row r="345" spans="1:138" ht="14.25" customHeight="1" x14ac:dyDescent="0.3">
      <c r="A345" s="1" t="s">
        <v>487</v>
      </c>
      <c r="B345" s="1" t="str">
        <f ca="1">IFERROR(__xludf.DUMMYFUNCTION("GOOGLETRANSLATE(A345, ""en"", ""fr"")"),"BARRIÈRE")</f>
        <v>BARRIÈRE</v>
      </c>
      <c r="D345" s="1" t="s">
        <v>4963</v>
      </c>
    </row>
    <row r="346" spans="1:138" ht="14.25" customHeight="1" x14ac:dyDescent="0.3">
      <c r="A346" s="1" t="s">
        <v>488</v>
      </c>
      <c r="B346" s="1" t="str">
        <f ca="1">IFERROR(__xludf.DUMMYFUNCTION("GOOGLETRANSLATE(A346, ""en"", ""fr"")"),"BARRIÈRES")</f>
        <v>BARRIÈRES</v>
      </c>
      <c r="D346" s="1" t="s">
        <v>4963</v>
      </c>
    </row>
    <row r="347" spans="1:138" ht="14.25" customHeight="1" x14ac:dyDescent="0.3">
      <c r="A347" s="1" t="s">
        <v>489</v>
      </c>
      <c r="B347" s="1" t="str">
        <f ca="1">IFERROR(__xludf.DUMMYFUNCTION("GOOGLETRANSLATE(A347, ""en"", ""fr"")"),"barrières à l'entrée")</f>
        <v>barrières à l'entrée</v>
      </c>
      <c r="M347" s="1" t="s">
        <v>10</v>
      </c>
    </row>
    <row r="348" spans="1:138" ht="14.25" customHeight="1" x14ac:dyDescent="0.3">
      <c r="A348" s="1" t="s">
        <v>490</v>
      </c>
      <c r="B348" s="1" t="str">
        <f ca="1">IFERROR(__xludf.DUMMYFUNCTION("GOOGLETRANSLATE(A348, ""en"", ""fr"")"),"taux d'intérêt de base")</f>
        <v>taux d'intérêt de base</v>
      </c>
      <c r="M348" s="1" t="s">
        <v>10</v>
      </c>
    </row>
    <row r="349" spans="1:138" ht="14.25" customHeight="1" x14ac:dyDescent="0.3">
      <c r="A349" s="1" t="s">
        <v>491</v>
      </c>
      <c r="B349" s="1" t="str">
        <f ca="1">IFERROR(__xludf.DUMMYFUNCTION("GOOGLETRANSLATE(A349, ""en"", ""fr"")"),"période de base")</f>
        <v>période de base</v>
      </c>
      <c r="M349" s="1" t="s">
        <v>10</v>
      </c>
    </row>
    <row r="350" spans="1:138" ht="14.25" customHeight="1" x14ac:dyDescent="0.3">
      <c r="A350" s="1" t="s">
        <v>492</v>
      </c>
      <c r="B350" s="1" t="str">
        <f ca="1">IFERROR(__xludf.DUMMYFUNCTION("GOOGLETRANSLATE(A350, ""en"", ""fr"")"),"Subsoad Supply")</f>
        <v>Subsoad Supply</v>
      </c>
      <c r="EH350" s="1" t="s">
        <v>135</v>
      </c>
    </row>
    <row r="351" spans="1:138" ht="14.25" customHeight="1" x14ac:dyDescent="0.3">
      <c r="A351" s="1" t="s">
        <v>493</v>
      </c>
      <c r="B351" s="1" t="str">
        <f ca="1">IFERROR(__xludf.DUMMYFUNCTION("GOOGLETRANSLATE(A351, ""en"", ""fr"")"),"unité de base")</f>
        <v>unité de base</v>
      </c>
      <c r="EH351" s="1" t="s">
        <v>135</v>
      </c>
    </row>
    <row r="352" spans="1:138" ht="14.25" customHeight="1" x14ac:dyDescent="0.3">
      <c r="A352" s="1" t="s">
        <v>494</v>
      </c>
      <c r="B352" s="1" t="str">
        <f ca="1">IFERROR(__xludf.DUMMYFUNCTION("GOOGLETRANSLATE(A352, ""en"", ""fr"")"),"Bases")</f>
        <v>Bases</v>
      </c>
      <c r="E352" s="1" t="s">
        <v>3</v>
      </c>
    </row>
    <row r="353" spans="1:106" ht="14.25" customHeight="1" x14ac:dyDescent="0.3">
      <c r="A353" s="1" t="s">
        <v>495</v>
      </c>
      <c r="B353" s="1" t="str">
        <f ca="1">IFERROR(__xludf.DUMMYFUNCTION("GOOGLETRANSLATE(A353, ""en"", ""fr"")"),"Analyse de l'année de base")</f>
        <v>Analyse de l'année de base</v>
      </c>
      <c r="M353" s="1" t="s">
        <v>10</v>
      </c>
    </row>
    <row r="354" spans="1:106" ht="14.25" customHeight="1" x14ac:dyDescent="0.3">
      <c r="A354" s="1" t="s">
        <v>496</v>
      </c>
      <c r="B354" s="1" t="str">
        <f ca="1">IFERROR(__xludf.DUMMYFUNCTION("GOOGLETRANSLATE(A354, ""en"", ""fr"")"),"Multiplicateur de base de l'industrie")</f>
        <v>Multiplicateur de base de l'industrie</v>
      </c>
      <c r="M354" s="1" t="s">
        <v>10</v>
      </c>
    </row>
    <row r="355" spans="1:106" ht="14.25" customHeight="1" x14ac:dyDescent="0.3">
      <c r="A355" s="1" t="s">
        <v>497</v>
      </c>
      <c r="B355" s="1" t="str">
        <f ca="1">IFERROR(__xludf.DUMMYFUNCTION("GOOGLETRANSLATE(A355, ""en"", ""fr"")"),"secteur des matériaux de base")</f>
        <v>secteur des matériaux de base</v>
      </c>
      <c r="M355" s="1" t="s">
        <v>10</v>
      </c>
    </row>
    <row r="356" spans="1:106" ht="14.25" customHeight="1" x14ac:dyDescent="0.3">
      <c r="A356" s="1" t="s">
        <v>498</v>
      </c>
      <c r="B356" s="1" t="str">
        <f ca="1">IFERROR(__xludf.DUMMYFUNCTION("GOOGLETRANSLATE(A356, ""en"", ""fr"")"),"point de base")</f>
        <v>point de base</v>
      </c>
      <c r="M356" s="1" t="s">
        <v>10</v>
      </c>
    </row>
    <row r="357" spans="1:106" ht="14.25" customHeight="1" x14ac:dyDescent="0.3">
      <c r="A357" s="1" t="s">
        <v>499</v>
      </c>
      <c r="B357" s="1" t="str">
        <f ca="1">IFERROR(__xludf.DUMMYFUNCTION("GOOGLETRANSLATE(A357, ""en"", ""fr"")"),"risque de base")</f>
        <v>risque de base</v>
      </c>
      <c r="Q357" s="1" t="s">
        <v>14</v>
      </c>
    </row>
    <row r="358" spans="1:106" ht="14.25" customHeight="1" x14ac:dyDescent="0.3">
      <c r="A358" s="1" t="s">
        <v>500</v>
      </c>
      <c r="B358" s="1" t="str">
        <f ca="1">IFERROR(__xludf.DUMMYFUNCTION("GOOGLETRANSLATE(A358, ""en"", ""fr"")"),"échange de base")</f>
        <v>échange de base</v>
      </c>
      <c r="Q358" s="1" t="s">
        <v>14</v>
      </c>
    </row>
    <row r="359" spans="1:106" ht="14.25" customHeight="1" x14ac:dyDescent="0.3">
      <c r="A359" s="1" t="s">
        <v>501</v>
      </c>
      <c r="B359" s="1" t="str">
        <f ca="1">IFERROR(__xludf.DUMMYFUNCTION("GOOGLETRANSLATE(A359, ""en"", ""fr"")"),"trading de base")</f>
        <v>trading de base</v>
      </c>
      <c r="Q359" s="1" t="s">
        <v>14</v>
      </c>
    </row>
    <row r="360" spans="1:106" ht="14.25" customHeight="1" x14ac:dyDescent="0.3">
      <c r="A360" s="1" t="s">
        <v>502</v>
      </c>
      <c r="B360" s="1" t="str">
        <f ca="1">IFERROR(__xludf.DUMMYFUNCTION("GOOGLETRANSLATE(A360, ""en"", ""fr"")"),"panier")</f>
        <v>panier</v>
      </c>
      <c r="M360" s="1" t="s">
        <v>10</v>
      </c>
    </row>
    <row r="361" spans="1:106" ht="14.25" customHeight="1" x14ac:dyDescent="0.3">
      <c r="A361" s="1" t="s">
        <v>503</v>
      </c>
      <c r="B361" s="1" t="str">
        <f ca="1">IFERROR(__xludf.DUMMYFUNCTION("GOOGLETRANSLATE(A361, ""en"", ""fr"")"),"échange de panier")</f>
        <v>échange de panier</v>
      </c>
      <c r="Q361" s="1" t="s">
        <v>14</v>
      </c>
    </row>
    <row r="362" spans="1:106" ht="14.25" customHeight="1" x14ac:dyDescent="0.3">
      <c r="A362" s="1" t="s">
        <v>504</v>
      </c>
      <c r="B362" s="1" t="str">
        <f ca="1">IFERROR(__xludf.DUMMYFUNCTION("GOOGLETRANSLATE(A362, ""en"", ""fr"")"),"Mélange de Basrah")</f>
        <v>Mélange de Basrah</v>
      </c>
      <c r="R362" s="1" t="s">
        <v>15</v>
      </c>
      <c r="CS362" s="1" t="s">
        <v>94</v>
      </c>
    </row>
    <row r="363" spans="1:106" ht="14.25" customHeight="1" x14ac:dyDescent="0.3">
      <c r="A363" s="1" t="s">
        <v>505</v>
      </c>
      <c r="B363" s="1" t="str">
        <f ca="1">IFERROR(__xludf.DUMMYFUNCTION("GOOGLETRANSLATE(A363, ""en"", ""fr"")"),"Basrah Lumière")</f>
        <v>Basrah Lumière</v>
      </c>
      <c r="R363" s="1" t="s">
        <v>15</v>
      </c>
      <c r="CS363" s="1" t="s">
        <v>94</v>
      </c>
    </row>
    <row r="364" spans="1:106" ht="14.25" customHeight="1" x14ac:dyDescent="0.3">
      <c r="A364" s="1" t="s">
        <v>506</v>
      </c>
      <c r="B364" s="1" t="str">
        <f ca="1">IFERROR(__xludf.DUMMYFUNCTION("GOOGLETRANSLATE(A364, ""en"", ""fr"")"),"raffinerie Baton Rouge")</f>
        <v>raffinerie Baton Rouge</v>
      </c>
      <c r="BC364" s="1" t="s">
        <v>52</v>
      </c>
      <c r="BF364" s="1" t="s">
        <v>55</v>
      </c>
      <c r="BI364" s="1" t="s">
        <v>58</v>
      </c>
      <c r="DB364" s="1" t="s">
        <v>103</v>
      </c>
    </row>
    <row r="365" spans="1:106" ht="14.25" customHeight="1" x14ac:dyDescent="0.3">
      <c r="A365" s="1" t="s">
        <v>507</v>
      </c>
      <c r="B365" s="1" t="str">
        <f ca="1">IFERROR(__xludf.DUMMYFUNCTION("GOOGLETRANSLATE(A365, ""en"", ""fr"")"),"Bayou Choctaw Sour")</f>
        <v>Bayou Choctaw Sour</v>
      </c>
      <c r="R365" s="1" t="s">
        <v>15</v>
      </c>
      <c r="CS365" s="1" t="s">
        <v>94</v>
      </c>
    </row>
    <row r="366" spans="1:106" ht="14.25" customHeight="1" x14ac:dyDescent="0.3">
      <c r="A366" s="1" t="s">
        <v>508</v>
      </c>
      <c r="B366" s="1" t="str">
        <f ca="1">IFERROR(__xludf.DUMMYFUNCTION("GOOGLETRANSLATE(A366, ""en"", ""fr"")"),"Bayou Choctaw Sweet")</f>
        <v>Bayou Choctaw Sweet</v>
      </c>
      <c r="R366" s="1" t="s">
        <v>15</v>
      </c>
      <c r="CS366" s="1" t="s">
        <v>94</v>
      </c>
    </row>
    <row r="367" spans="1:106" ht="14.25" customHeight="1" x14ac:dyDescent="0.3">
      <c r="A367" s="1" t="s">
        <v>509</v>
      </c>
      <c r="B367" s="1" t="str">
        <f ca="1">IFERROR(__xludf.DUMMYFUNCTION("GOOGLETRANSLATE(A367, ""en"", ""fr"")"),"raffinerie de Baytown")</f>
        <v>raffinerie de Baytown</v>
      </c>
      <c r="BC367" s="1" t="s">
        <v>52</v>
      </c>
      <c r="BF367" s="1" t="s">
        <v>55</v>
      </c>
      <c r="BI367" s="1" t="s">
        <v>58</v>
      </c>
      <c r="DB367" s="1" t="s">
        <v>103</v>
      </c>
    </row>
    <row r="368" spans="1:106" ht="14.25" customHeight="1" x14ac:dyDescent="0.3">
      <c r="A368" s="1" t="s">
        <v>510</v>
      </c>
      <c r="B368" s="1" t="str">
        <f ca="1">IFERROR(__xludf.DUMMYFUNCTION("GOOGLETRANSLATE(A368, ""en"", ""fr"")"),"Bayu undan")</f>
        <v>Bayu undan</v>
      </c>
      <c r="R368" s="1" t="s">
        <v>15</v>
      </c>
      <c r="CS368" s="1" t="s">
        <v>94</v>
      </c>
    </row>
    <row r="369" spans="1:132" ht="14.25" customHeight="1" x14ac:dyDescent="0.3">
      <c r="A369" s="1" t="s">
        <v>511</v>
      </c>
      <c r="B369" s="1" t="str">
        <f ca="1">IFERROR(__xludf.DUMMYFUNCTION("GOOGLETRANSLATE(A369, ""en"", ""fr"")"),"BCF-17")</f>
        <v>BCF-17</v>
      </c>
      <c r="R369" s="1" t="s">
        <v>15</v>
      </c>
      <c r="CS369" s="1" t="s">
        <v>94</v>
      </c>
    </row>
    <row r="370" spans="1:132" ht="14.25" customHeight="1" x14ac:dyDescent="0.3">
      <c r="A370" s="1" t="s">
        <v>512</v>
      </c>
      <c r="B370" s="1" t="str">
        <f ca="1">IFERROR(__xludf.DUMMYFUNCTION("GOOGLETRANSLATE(A370, ""en"", ""fr"")"),"être")</f>
        <v>être</v>
      </c>
      <c r="J370" s="1" t="s">
        <v>7</v>
      </c>
    </row>
    <row r="371" spans="1:132" ht="14.25" customHeight="1" x14ac:dyDescent="0.3">
      <c r="A371" s="1" t="s">
        <v>513</v>
      </c>
      <c r="B371" s="1" t="str">
        <f ca="1">IFERROR(__xludf.DUMMYFUNCTION("GOOGLETRANSLATE(A371, ""en"", ""fr"")"),"marché des ours")</f>
        <v>marché des ours</v>
      </c>
      <c r="M371" s="1" t="s">
        <v>10</v>
      </c>
    </row>
    <row r="372" spans="1:132" ht="14.25" customHeight="1" x14ac:dyDescent="0.3">
      <c r="A372" s="1" t="s">
        <v>514</v>
      </c>
      <c r="B372" s="1" t="str">
        <f ca="1">IFERROR(__xludf.DUMMYFUNCTION("GOOGLETRANSLATE(A372, ""en"", ""fr"")"),"répartition de l'ours")</f>
        <v>répartition de l'ours</v>
      </c>
      <c r="Q372" s="1" t="s">
        <v>14</v>
      </c>
    </row>
    <row r="373" spans="1:132" ht="14.25" customHeight="1" x14ac:dyDescent="0.3">
      <c r="A373" s="1" t="s">
        <v>515</v>
      </c>
      <c r="B373" s="1" t="str">
        <f ca="1">IFERROR(__xludf.DUMMYFUNCTION("GOOGLETRANSLATE(A373, ""en"", ""fr"")"),"je ne chasse pas, je préfère laisser les bêtes s'entretuer")</f>
        <v>je ne chasse pas, je préfère laisser les bêtes s'entretuer</v>
      </c>
      <c r="AO373" s="1" t="s">
        <v>38</v>
      </c>
      <c r="CR373" s="1" t="s">
        <v>93</v>
      </c>
    </row>
    <row r="374" spans="1:132" ht="14.25" customHeight="1" x14ac:dyDescent="0.3">
      <c r="A374" s="1" t="s">
        <v>516</v>
      </c>
      <c r="B374" s="1" t="str">
        <f ca="1">IFERROR(__xludf.DUMMYFUNCTION("GOOGLETRANSLATE(A374, ""en"", ""fr"")"),"raffinerie Beaumont")</f>
        <v>raffinerie Beaumont</v>
      </c>
      <c r="BC374" s="1" t="s">
        <v>52</v>
      </c>
      <c r="BF374" s="1" t="s">
        <v>55</v>
      </c>
      <c r="BI374" s="1" t="s">
        <v>58</v>
      </c>
      <c r="EB374" s="1" t="s">
        <v>129</v>
      </c>
    </row>
    <row r="375" spans="1:132" ht="14.25" customHeight="1" x14ac:dyDescent="0.3">
      <c r="A375" s="1" t="s">
        <v>517</v>
      </c>
      <c r="B375" s="1" t="str">
        <f ca="1">IFERROR(__xludf.DUMMYFUNCTION("GOOGLETRANSLATE(A375, ""en"", ""fr"")"),"BEAU")</f>
        <v>BEAU</v>
      </c>
      <c r="H375" s="1" t="s">
        <v>4964</v>
      </c>
    </row>
    <row r="376" spans="1:132" ht="14.25" customHeight="1" x14ac:dyDescent="0.3">
      <c r="A376" s="1" t="s">
        <v>518</v>
      </c>
      <c r="B376" s="1" t="str">
        <f ca="1">IFERROR(__xludf.DUMMYFUNCTION("GOOGLETRANSLATE(A376, ""en"", ""fr"")"),"Magnifiquement")</f>
        <v>Magnifiquement</v>
      </c>
      <c r="H376" s="1" t="s">
        <v>4964</v>
      </c>
    </row>
    <row r="377" spans="1:132" ht="14.25" customHeight="1" x14ac:dyDescent="0.3">
      <c r="A377" s="1" t="s">
        <v>519</v>
      </c>
      <c r="B377" s="1" t="str">
        <f ca="1">IFERROR(__xludf.DUMMYFUNCTION("GOOGLETRANSLATE(A377, ""en"", ""fr"")"),"parce que")</f>
        <v>parce que</v>
      </c>
      <c r="J377" s="1" t="s">
        <v>7</v>
      </c>
    </row>
    <row r="378" spans="1:132" ht="14.25" customHeight="1" x14ac:dyDescent="0.3">
      <c r="A378" s="1" t="s">
        <v>520</v>
      </c>
      <c r="B378" s="1" t="str">
        <f ca="1">IFERROR(__xludf.DUMMYFUNCTION("GOOGLETRANSLATE(A378, ""en"", ""fr"")"),"devenir")</f>
        <v>devenir</v>
      </c>
      <c r="J378" s="1" t="s">
        <v>7</v>
      </c>
    </row>
    <row r="379" spans="1:132" ht="14.25" customHeight="1" x14ac:dyDescent="0.3">
      <c r="A379" s="1" t="s">
        <v>521</v>
      </c>
      <c r="B379" s="1" t="str">
        <f ca="1">IFERROR(__xludf.DUMMYFUNCTION("GOOGLETRANSLATE(A379, ""en"", ""fr"")"),"devient")</f>
        <v>devient</v>
      </c>
      <c r="J379" s="1" t="s">
        <v>7</v>
      </c>
    </row>
    <row r="380" spans="1:132" ht="14.25" customHeight="1" x14ac:dyDescent="0.3">
      <c r="A380" s="1" t="s">
        <v>522</v>
      </c>
      <c r="B380" s="1" t="str">
        <f ca="1">IFERROR(__xludf.DUMMYFUNCTION("GOOGLETRANSLATE(A380, ""en"", ""fr"")"),"a été")</f>
        <v>a été</v>
      </c>
      <c r="J380" s="1" t="s">
        <v>7</v>
      </c>
    </row>
    <row r="381" spans="1:132" ht="14.25" customHeight="1" x14ac:dyDescent="0.3">
      <c r="A381" s="1" t="s">
        <v>523</v>
      </c>
      <c r="B381" s="1" t="str">
        <f ca="1">IFERROR(__xludf.DUMMYFUNCTION("GOOGLETRANSLATE(A381, ""en"", ""fr"")"),"avant")</f>
        <v>avant</v>
      </c>
      <c r="J381" s="1" t="s">
        <v>7</v>
      </c>
    </row>
    <row r="382" spans="1:132" ht="14.25" customHeight="1" x14ac:dyDescent="0.3">
      <c r="A382" s="1" t="s">
        <v>524</v>
      </c>
      <c r="B382" s="1" t="str">
        <f ca="1">IFERROR(__xludf.DUMMYFUNCTION("GOOGLETRANSLATE(A382, ""en"", ""fr"")"),"derrière")</f>
        <v>derrière</v>
      </c>
      <c r="J382" s="1" t="s">
        <v>7</v>
      </c>
    </row>
    <row r="383" spans="1:132" ht="14.25" customHeight="1" x14ac:dyDescent="0.3">
      <c r="A383" s="1" t="s">
        <v>525</v>
      </c>
      <c r="B383" s="1" t="str">
        <f ca="1">IFERROR(__xludf.DUMMYFUNCTION("GOOGLETRANSLATE(A383, ""en"", ""fr"")"),"livre beige")</f>
        <v>livre beige</v>
      </c>
      <c r="M383" s="1" t="s">
        <v>10</v>
      </c>
    </row>
    <row r="384" spans="1:132" ht="14.25" customHeight="1" x14ac:dyDescent="0.3">
      <c r="A384" s="1" t="s">
        <v>526</v>
      </c>
      <c r="B384" s="1" t="str">
        <f ca="1">IFERROR(__xludf.DUMMYFUNCTION("GOOGLETRANSLATE(A384, ""en"", ""fr"")"),"être")</f>
        <v>être</v>
      </c>
      <c r="J384" s="1" t="s">
        <v>7</v>
      </c>
    </row>
    <row r="385" spans="1:146" ht="14.25" customHeight="1" x14ac:dyDescent="0.3">
      <c r="A385" s="1" t="s">
        <v>527</v>
      </c>
      <c r="B385" s="1" t="str">
        <f ca="1">IFERROR(__xludf.DUMMYFUNCTION("GOOGLETRANSLATE(A385, ""en"", ""fr"")"),"Belanak")</f>
        <v>Belanak</v>
      </c>
      <c r="R385" s="1" t="s">
        <v>15</v>
      </c>
      <c r="CS385" s="1" t="s">
        <v>94</v>
      </c>
    </row>
    <row r="386" spans="1:146" ht="14.25" customHeight="1" x14ac:dyDescent="0.3">
      <c r="A386" s="1" t="s">
        <v>528</v>
      </c>
      <c r="B386" s="1" t="str">
        <f ca="1">IFERROR(__xludf.DUMMYFUNCTION("GOOGLETRANSLATE(A386, ""en"", ""fr"")"),"chétifier")</f>
        <v>chétifier</v>
      </c>
      <c r="AU386" s="1" t="s">
        <v>44</v>
      </c>
      <c r="DD386" s="1" t="s">
        <v>105</v>
      </c>
      <c r="EO386" s="1" t="s">
        <v>142</v>
      </c>
      <c r="EP386" s="1" t="s">
        <v>143</v>
      </c>
    </row>
    <row r="387" spans="1:146" ht="14.25" customHeight="1" x14ac:dyDescent="0.3">
      <c r="A387" s="1" t="s">
        <v>529</v>
      </c>
      <c r="B387" s="1" t="str">
        <f ca="1">IFERROR(__xludf.DUMMYFUNCTION("GOOGLETRANSLATE(A387, ""en"", ""fr"")"),"Mélange de belayim")</f>
        <v>Mélange de belayim</v>
      </c>
      <c r="R387" s="1" t="s">
        <v>15</v>
      </c>
      <c r="CS387" s="1" t="s">
        <v>94</v>
      </c>
    </row>
    <row r="388" spans="1:146" ht="14.25" customHeight="1" x14ac:dyDescent="0.3">
      <c r="A388" s="1" t="s">
        <v>530</v>
      </c>
      <c r="B388" s="1" t="str">
        <f ca="1">IFERROR(__xludf.DUMMYFUNCTION("GOOGLETRANSLATE(A388, ""en"", ""fr"")"),"Belida")</f>
        <v>Belida</v>
      </c>
      <c r="R388" s="1" t="s">
        <v>15</v>
      </c>
      <c r="CS388" s="1" t="s">
        <v>94</v>
      </c>
    </row>
    <row r="389" spans="1:146" ht="14.25" customHeight="1" x14ac:dyDescent="0.3">
      <c r="A389" s="1" t="s">
        <v>531</v>
      </c>
      <c r="B389" s="1" t="str">
        <f ca="1">IFERROR(__xludf.DUMMYFUNCTION("GOOGLETRANSLATE(A389, ""en"", ""fr"")"),"Mamelon")</f>
        <v>Mamelon</v>
      </c>
      <c r="E389" s="1" t="s">
        <v>3</v>
      </c>
    </row>
    <row r="390" spans="1:146" ht="14.25" customHeight="1" x14ac:dyDescent="0.3">
      <c r="A390" s="1" t="s">
        <v>532</v>
      </c>
      <c r="B390" s="1" t="str">
        <f ca="1">IFERROR(__xludf.DUMMYFUNCTION("GOOGLETRANSLATE(A390, ""en"", ""fr"")"),"ci-dessous")</f>
        <v>ci-dessous</v>
      </c>
      <c r="J390" s="1" t="s">
        <v>7</v>
      </c>
    </row>
    <row r="391" spans="1:146" ht="14.25" customHeight="1" x14ac:dyDescent="0.3">
      <c r="A391" s="1" t="s">
        <v>533</v>
      </c>
      <c r="B391" s="1" t="str">
        <f ca="1">IFERROR(__xludf.DUMMYFUNCTION("GOOGLETRANSLATE(A391, ""en"", ""fr"")"),"Ben Bernanke")</f>
        <v>Ben Bernanke</v>
      </c>
      <c r="M391" s="1" t="s">
        <v>10</v>
      </c>
    </row>
    <row r="392" spans="1:146" ht="14.25" customHeight="1" x14ac:dyDescent="0.3">
      <c r="A392" s="1" t="s">
        <v>534</v>
      </c>
      <c r="B392" s="1" t="str">
        <f ca="1">IFERROR(__xludf.DUMMYFUNCTION("GOOGLETRANSLATE(A392, ""en"", ""fr"")"),"Benchamas")</f>
        <v>Benchamas</v>
      </c>
      <c r="R392" s="1" t="s">
        <v>15</v>
      </c>
      <c r="CS392" s="1" t="s">
        <v>94</v>
      </c>
    </row>
    <row r="393" spans="1:146" ht="14.25" customHeight="1" x14ac:dyDescent="0.3">
      <c r="A393" s="1" t="s">
        <v>535</v>
      </c>
      <c r="B393" s="1" t="str">
        <f ca="1">IFERROR(__xludf.DUMMYFUNCTION("GOOGLETRANSLATE(A393, ""en"", ""fr"")"),"brut de référence")</f>
        <v>brut de référence</v>
      </c>
      <c r="CS393" s="1" t="s">
        <v>94</v>
      </c>
      <c r="EL393" s="1" t="s">
        <v>139</v>
      </c>
    </row>
    <row r="394" spans="1:146" ht="14.25" customHeight="1" x14ac:dyDescent="0.3">
      <c r="A394" s="1" t="s">
        <v>536</v>
      </c>
      <c r="B394" s="1" t="str">
        <f ca="1">IFERROR(__xludf.DUMMYFUNCTION("GOOGLETRANSLATE(A394, ""en"", ""fr"")"),"BÉNÉFIQUE")</f>
        <v>BÉNÉFIQUE</v>
      </c>
      <c r="H394" s="1" t="s">
        <v>4964</v>
      </c>
    </row>
    <row r="395" spans="1:146" ht="14.25" customHeight="1" x14ac:dyDescent="0.3">
      <c r="A395" s="1" t="s">
        <v>537</v>
      </c>
      <c r="B395" s="1" t="str">
        <f ca="1">IFERROR(__xludf.DUMMYFUNCTION("GOOGLETRANSLATE(A395, ""en"", ""fr"")"),"Avantageux")</f>
        <v>Avantageux</v>
      </c>
      <c r="H395" s="1" t="s">
        <v>4964</v>
      </c>
    </row>
    <row r="396" spans="1:146" ht="14.25" customHeight="1" x14ac:dyDescent="0.3">
      <c r="A396" s="1" t="s">
        <v>538</v>
      </c>
      <c r="B396" s="1" t="str">
        <f ca="1">IFERROR(__xludf.DUMMYFUNCTION("GOOGLETRANSLATE(A396, ""en"", ""fr"")"),"AVANTAGE")</f>
        <v>AVANTAGE</v>
      </c>
      <c r="H396" s="1" t="s">
        <v>4964</v>
      </c>
    </row>
    <row r="397" spans="1:146" ht="14.25" customHeight="1" x14ac:dyDescent="0.3">
      <c r="A397" s="1" t="s">
        <v>539</v>
      </c>
      <c r="B397" s="1" t="str">
        <f ca="1">IFERROR(__xludf.DUMMYFUNCTION("GOOGLETRANSLATE(A397, ""en"", ""fr"")"),"Bénéficiant")</f>
        <v>Bénéficiant</v>
      </c>
      <c r="H397" s="1" t="s">
        <v>4964</v>
      </c>
    </row>
    <row r="398" spans="1:146" ht="14.25" customHeight="1" x14ac:dyDescent="0.3">
      <c r="A398" s="1" t="s">
        <v>540</v>
      </c>
      <c r="B398" s="1" t="str">
        <f ca="1">IFERROR(__xludf.DUMMYFUNCTION("GOOGLETRANSLATE(A398, ""en"", ""fr"")"),"Bénéficiaire")</f>
        <v>Bénéficiaire</v>
      </c>
      <c r="H398" s="1" t="s">
        <v>4964</v>
      </c>
    </row>
    <row r="399" spans="1:146" ht="14.25" customHeight="1" x14ac:dyDescent="0.3">
      <c r="A399" s="1" t="s">
        <v>541</v>
      </c>
      <c r="B399" s="1" t="str">
        <f ca="1">IFERROR(__xludf.DUMMYFUNCTION("GOOGLETRANSLATE(A399, ""en"", ""fr"")"),"avantages")</f>
        <v>avantages</v>
      </c>
      <c r="CR399" s="1" t="s">
        <v>93</v>
      </c>
    </row>
    <row r="400" spans="1:146" ht="14.25" customHeight="1" x14ac:dyDescent="0.3">
      <c r="A400" s="1" t="s">
        <v>542</v>
      </c>
      <c r="B400" s="1" t="str">
        <f ca="1">IFERROR(__xludf.DUMMYFUNCTION("GOOGLETRANSLATE(A400, ""en"", ""fr"")"),"Frais de prestations")</f>
        <v>Frais de prestations</v>
      </c>
      <c r="CR400" s="1" t="s">
        <v>93</v>
      </c>
    </row>
    <row r="401" spans="1:142" ht="14.25" customHeight="1" x14ac:dyDescent="0.3">
      <c r="A401" s="1" t="s">
        <v>543</v>
      </c>
      <c r="B401" s="1" t="str">
        <f ca="1">IFERROR(__xludf.DUMMYFUNCTION("GOOGLETRANSLATE(A401, ""en"", ""fr"")"),"Bien bénéficiaire")</f>
        <v>Bien bénéficiaire</v>
      </c>
      <c r="H401" s="1" t="s">
        <v>4964</v>
      </c>
    </row>
    <row r="402" spans="1:142" ht="14.25" customHeight="1" x14ac:dyDescent="0.3">
      <c r="A402" s="1" t="s">
        <v>544</v>
      </c>
      <c r="B402" s="1" t="str">
        <f ca="1">IFERROR(__xludf.DUMMYFUNCTION("GOOGLETRANSLATE(A402, ""en"", ""fr"")"),"Bénéfice")</f>
        <v>Bénéfice</v>
      </c>
      <c r="H402" s="1" t="s">
        <v>4964</v>
      </c>
    </row>
    <row r="403" spans="1:142" ht="14.25" customHeight="1" x14ac:dyDescent="0.3">
      <c r="A403" s="1" t="s">
        <v>545</v>
      </c>
      <c r="B403" s="1" t="str">
        <f ca="1">IFERROR(__xludf.DUMMYFUNCTION("GOOGLETRANSLATE(A403, ""en"", ""fr"")"),"Benjamin Graham")</f>
        <v>Benjamin Graham</v>
      </c>
      <c r="M403" s="1" t="s">
        <v>10</v>
      </c>
    </row>
    <row r="404" spans="1:142" ht="14.25" customHeight="1" x14ac:dyDescent="0.3">
      <c r="A404" s="1" t="s">
        <v>546</v>
      </c>
      <c r="B404" s="1" t="str">
        <f ca="1">IFERROR(__xludf.DUMMYFUNCTION("GOOGLETRANSLATE(A404, ""en"", ""fr"")"),"berri")</f>
        <v>berri</v>
      </c>
      <c r="AN404" s="1" t="s">
        <v>37</v>
      </c>
      <c r="AU404" s="1" t="s">
        <v>44</v>
      </c>
      <c r="BS404" s="1" t="s">
        <v>68</v>
      </c>
      <c r="DD404" s="1" t="s">
        <v>105</v>
      </c>
    </row>
    <row r="405" spans="1:142" ht="14.25" customHeight="1" x14ac:dyDescent="0.3">
      <c r="A405" s="1" t="s">
        <v>547</v>
      </c>
      <c r="B405" s="1" t="str">
        <f ca="1">IFERROR(__xludf.DUMMYFUNCTION("GOOGLETRANSLATE(A405, ""en"", ""fr"")"),"Béryl")</f>
        <v>Béryl</v>
      </c>
      <c r="R405" s="1" t="s">
        <v>15</v>
      </c>
      <c r="CS405" s="1" t="s">
        <v>94</v>
      </c>
    </row>
    <row r="406" spans="1:142" ht="14.25" customHeight="1" x14ac:dyDescent="0.3">
      <c r="A406" s="1" t="s">
        <v>548</v>
      </c>
      <c r="B406" s="1" t="str">
        <f ca="1">IFERROR(__xludf.DUMMYFUNCTION("GOOGLETRANSLATE(A406, ""en"", ""fr"")"),"MIEUX")</f>
        <v>MIEUX</v>
      </c>
      <c r="H406" s="1" t="s">
        <v>4964</v>
      </c>
    </row>
    <row r="407" spans="1:142" ht="14.25" customHeight="1" x14ac:dyDescent="0.3">
      <c r="A407" s="1" t="s">
        <v>549</v>
      </c>
      <c r="B407" s="1" t="str">
        <f ca="1">IFERROR(__xludf.DUMMYFUNCTION("GOOGLETRANSLATE(A407, ""en"", ""fr"")"),"entre")</f>
        <v>entre</v>
      </c>
      <c r="J407" s="1" t="s">
        <v>7</v>
      </c>
    </row>
    <row r="408" spans="1:142" ht="14.25" customHeight="1" x14ac:dyDescent="0.3">
      <c r="A408" s="1" t="s">
        <v>550</v>
      </c>
      <c r="B408" s="1" t="str">
        <f ca="1">IFERROR(__xludf.DUMMYFUNCTION("GOOGLETRANSLATE(A408, ""en"", ""fr"")"),"bfoe")</f>
        <v>bfoe</v>
      </c>
      <c r="ED408" s="1" t="s">
        <v>131</v>
      </c>
    </row>
    <row r="409" spans="1:142" ht="14.25" customHeight="1" x14ac:dyDescent="0.3">
      <c r="A409" s="1" t="s">
        <v>551</v>
      </c>
      <c r="B409" s="1" t="str">
        <f ca="1">IFERROR(__xludf.DUMMYFUNCTION("GOOGLETRANSLATE(A409, ""en"", ""fr"")"),"demande d'offre")</f>
        <v>demande d'offre</v>
      </c>
      <c r="CR409" s="1" t="s">
        <v>93</v>
      </c>
    </row>
    <row r="410" spans="1:142" ht="14.25" customHeight="1" x14ac:dyDescent="0.3">
      <c r="A410" s="1" t="s">
        <v>552</v>
      </c>
      <c r="B410" s="1" t="str">
        <f ca="1">IFERROR(__xludf.DUMMYFUNCTION("GOOGLETRANSLATE(A410, ""en"", ""fr"")"),"trois grands")</f>
        <v>trois grands</v>
      </c>
      <c r="M410" s="1" t="s">
        <v>10</v>
      </c>
    </row>
    <row r="411" spans="1:142" ht="14.25" customHeight="1" x14ac:dyDescent="0.3">
      <c r="A411" s="1" t="s">
        <v>553</v>
      </c>
      <c r="B411" s="1" t="str">
        <f ca="1">IFERROR(__xludf.DUMMYFUNCTION("GOOGLETRANSLATE(A411, ""en"", ""fr"")"),"filet bilatéral")</f>
        <v>filet bilatéral</v>
      </c>
      <c r="Q411" s="1" t="s">
        <v>14</v>
      </c>
    </row>
    <row r="412" spans="1:142" ht="14.25" customHeight="1" x14ac:dyDescent="0.3">
      <c r="A412" s="1" t="s">
        <v>554</v>
      </c>
      <c r="B412" s="1" t="str">
        <f ca="1">IFERROR(__xludf.DUMMYFUNCTION("GOOGLETRANSLATE(A412, ""en"", ""fr"")"),"demande de facturation")</f>
        <v>demande de facturation</v>
      </c>
      <c r="CR412" s="1" t="s">
        <v>93</v>
      </c>
      <c r="CS412" s="1" t="s">
        <v>94</v>
      </c>
    </row>
    <row r="413" spans="1:142" ht="14.25" customHeight="1" x14ac:dyDescent="0.3">
      <c r="A413" s="1" t="s">
        <v>555</v>
      </c>
      <c r="B413" s="1" t="str">
        <f ca="1">IFERROR(__xludf.DUMMYFUNCTION("GOOGLETRANSLATE(A413, ""en"", ""fr"")"),"option binaire")</f>
        <v>option binaire</v>
      </c>
      <c r="Q413" s="1" t="s">
        <v>14</v>
      </c>
    </row>
    <row r="414" spans="1:142" ht="14.25" customHeight="1" x14ac:dyDescent="0.3">
      <c r="A414" s="1" t="s">
        <v>556</v>
      </c>
      <c r="B414" s="1" t="str">
        <f ca="1">IFERROR(__xludf.DUMMYFUNCTION("GOOGLETRANSLATE(A414, ""en"", ""fr"")"),"Condensat de bintulu")</f>
        <v>Condensat de bintulu</v>
      </c>
      <c r="R414" s="1" t="s">
        <v>15</v>
      </c>
      <c r="CS414" s="1" t="s">
        <v>94</v>
      </c>
    </row>
    <row r="415" spans="1:142" ht="14.25" customHeight="1" x14ac:dyDescent="0.3">
      <c r="A415" s="1" t="s">
        <v>557</v>
      </c>
      <c r="B415" s="1" t="str">
        <f ca="1">IFERROR(__xludf.DUMMYFUNCTION("GOOGLETRANSLATE(A415, ""en"", ""fr"")"),"Bitume")</f>
        <v>Bitume</v>
      </c>
      <c r="EL415" s="1" t="s">
        <v>139</v>
      </c>
    </row>
    <row r="416" spans="1:142" ht="14.25" customHeight="1" x14ac:dyDescent="0.3">
      <c r="A416" s="1" t="s">
        <v>558</v>
      </c>
      <c r="B416" s="1" t="str">
        <f ca="1">IFERROR(__xludf.DUMMYFUNCTION("GOOGLETRANSLATE(A416, ""en"", ""fr"")"),"Sables bitumineux")</f>
        <v>Sables bitumineux</v>
      </c>
      <c r="EL416" s="1" t="s">
        <v>139</v>
      </c>
    </row>
    <row r="417" spans="1:145" ht="14.25" customHeight="1" x14ac:dyDescent="0.3">
      <c r="A417" s="1" t="s">
        <v>559</v>
      </c>
      <c r="B417" s="1" t="str">
        <f ca="1">IFERROR(__xludf.DUMMYFUNCTION("GOOGLETRANSLATE(A417, ""en"", ""fr"")"),"Huile noire")</f>
        <v>Huile noire</v>
      </c>
      <c r="EL417" s="1" t="s">
        <v>139</v>
      </c>
    </row>
    <row r="418" spans="1:145" ht="14.25" customHeight="1" x14ac:dyDescent="0.3">
      <c r="A418" s="1" t="s">
        <v>560</v>
      </c>
      <c r="B418" s="1" t="str">
        <f ca="1">IFERROR(__xludf.DUMMYFUNCTION("GOOGLETRANSLATE(A418, ""en"", ""fr"")"),"jeudi noir")</f>
        <v>jeudi noir</v>
      </c>
      <c r="M418" s="1" t="s">
        <v>10</v>
      </c>
    </row>
    <row r="419" spans="1:145" ht="14.25" customHeight="1" x14ac:dyDescent="0.3">
      <c r="A419" s="1" t="s">
        <v>561</v>
      </c>
      <c r="B419" s="1" t="str">
        <f ca="1">IFERROR(__xludf.DUMMYFUNCTION("GOOGLETRANSLATE(A419, ""en"", ""fr"")"),"Modèle de Black-Scholes")</f>
        <v>Modèle de Black-Scholes</v>
      </c>
      <c r="Q419" s="1" t="s">
        <v>14</v>
      </c>
    </row>
    <row r="420" spans="1:145" ht="14.25" customHeight="1" x14ac:dyDescent="0.3">
      <c r="A420" s="1" t="s">
        <v>562</v>
      </c>
      <c r="B420" s="1" t="str">
        <f ca="1">IFERROR(__xludf.DUMMYFUNCTION("GOOGLETRANSLATE(A420, ""en"", ""fr"")"),"mélange")</f>
        <v>mélange</v>
      </c>
      <c r="CS420" s="1" t="s">
        <v>94</v>
      </c>
    </row>
    <row r="421" spans="1:145" ht="14.25" customHeight="1" x14ac:dyDescent="0.3">
      <c r="A421" s="1" t="s">
        <v>563</v>
      </c>
      <c r="B421" s="1" t="str">
        <f ca="1">IFERROR(__xludf.DUMMYFUNCTION("GOOGLETRANSLATE(A421, ""en"", ""fr"")"),"Souffler")</f>
        <v>Souffler</v>
      </c>
      <c r="E421" s="1" t="s">
        <v>3</v>
      </c>
    </row>
    <row r="422" spans="1:145" ht="14.25" customHeight="1" x14ac:dyDescent="0.3">
      <c r="A422" s="1" t="s">
        <v>564</v>
      </c>
      <c r="B422" s="1" t="str">
        <f ca="1">IFERROR(__xludf.DUMMYFUNCTION("GOOGLETRANSLATE(A422, ""en"", ""fr"")"),"Éteindre")</f>
        <v>Éteindre</v>
      </c>
      <c r="E422" s="1" t="s">
        <v>3</v>
      </c>
    </row>
    <row r="423" spans="1:145" ht="14.25" customHeight="1" x14ac:dyDescent="0.3">
      <c r="A423" s="1" t="s">
        <v>565</v>
      </c>
      <c r="B423" s="1" t="str">
        <f ca="1">IFERROR(__xludf.DUMMYFUNCTION("GOOGLETRANSLATE(A423, ""en"", ""fr"")"),"conseil des gouverneurs")</f>
        <v>conseil des gouverneurs</v>
      </c>
      <c r="M423" s="1" t="s">
        <v>10</v>
      </c>
    </row>
    <row r="424" spans="1:145" ht="14.25" customHeight="1" x14ac:dyDescent="0.3">
      <c r="A424" s="1" t="s">
        <v>566</v>
      </c>
      <c r="B424" s="1" t="str">
        <f ca="1">IFERROR(__xludf.DUMMYFUNCTION("GOOGLETRANSLATE(A424, ""en"", ""fr"")"),"côte bolivar")</f>
        <v>côte bolivar</v>
      </c>
      <c r="AU424" s="1" t="s">
        <v>44</v>
      </c>
      <c r="BJ424" s="1" t="s">
        <v>59</v>
      </c>
      <c r="DD424" s="1" t="s">
        <v>105</v>
      </c>
      <c r="EG424" s="1" t="s">
        <v>134</v>
      </c>
    </row>
    <row r="425" spans="1:145" ht="14.25" customHeight="1" x14ac:dyDescent="0.3">
      <c r="A425" s="1" t="s">
        <v>567</v>
      </c>
      <c r="B425" s="1" t="str">
        <f ca="1">IFERROR(__xludf.DUMMYFUNCTION("GOOGLETRANSLATE(A425, ""en"", ""fr"")"),"Renforcé")</f>
        <v>Renforcé</v>
      </c>
      <c r="H425" s="1" t="s">
        <v>4964</v>
      </c>
    </row>
    <row r="426" spans="1:145" ht="14.25" customHeight="1" x14ac:dyDescent="0.3">
      <c r="A426" s="1" t="s">
        <v>568</v>
      </c>
      <c r="B426" s="1" t="str">
        <f ca="1">IFERROR(__xludf.DUMMYFUNCTION("GOOGLETRANSLATE(A426, ""en"", ""fr"")"),"Renforcement")</f>
        <v>Renforcement</v>
      </c>
      <c r="H426" s="1" t="s">
        <v>4964</v>
      </c>
    </row>
    <row r="427" spans="1:145" ht="14.25" customHeight="1" x14ac:dyDescent="0.3">
      <c r="A427" s="1" t="s">
        <v>569</v>
      </c>
      <c r="B427" s="1" t="str">
        <f ca="1">IFERROR(__xludf.DUMMYFUNCTION("GOOGLETRANSLATE(A427, ""en"", ""fr"")"),"Boucles")</f>
        <v>Boucles</v>
      </c>
      <c r="H427" s="1" t="s">
        <v>4964</v>
      </c>
    </row>
    <row r="428" spans="1:145" ht="14.25" customHeight="1" x14ac:dyDescent="0.3">
      <c r="A428" s="1" t="s">
        <v>570</v>
      </c>
      <c r="B428" s="1" t="str">
        <f ca="1">IFERROR(__xludf.DUMMYFUNCTION("GOOGLETRANSLATE(A428, ""en"", ""fr"")"),"bombayhigh")</f>
        <v>bombayhigh</v>
      </c>
      <c r="P428" s="1" t="s">
        <v>13</v>
      </c>
      <c r="BW428" s="1" t="s">
        <v>72</v>
      </c>
      <c r="DD428" s="1" t="s">
        <v>105</v>
      </c>
    </row>
    <row r="429" spans="1:145" ht="14.25" customHeight="1" x14ac:dyDescent="0.3">
      <c r="A429" s="1" t="s">
        <v>571</v>
      </c>
      <c r="B429" s="1" t="str">
        <f ca="1">IFERROR(__xludf.DUMMYFUNCTION("GOOGLETRANSLATE(A429, ""en"", ""fr"")"),"lier")</f>
        <v>lier</v>
      </c>
      <c r="CR429" s="1" t="s">
        <v>93</v>
      </c>
    </row>
    <row r="430" spans="1:145" ht="14.25" customHeight="1" x14ac:dyDescent="0.3">
      <c r="A430" s="1" t="s">
        <v>572</v>
      </c>
      <c r="B430" s="1" t="str">
        <f ca="1">IFERROR(__xludf.DUMMYFUNCTION("GOOGLETRANSLATE(A430, ""en"", ""fr"")"),"cote de cautionnement")</f>
        <v>cote de cautionnement</v>
      </c>
      <c r="CR430" s="1" t="s">
        <v>93</v>
      </c>
    </row>
    <row r="431" spans="1:145" ht="14.25" customHeight="1" x14ac:dyDescent="0.3">
      <c r="A431" s="1" t="s">
        <v>573</v>
      </c>
      <c r="B431" s="1" t="str">
        <f ca="1">IFERROR(__xludf.DUMMYFUNCTION("GOOGLETRANSLATE(A431, ""en"", ""fr"")"),"terminal collé")</f>
        <v>terminal collé</v>
      </c>
      <c r="M431" s="1" t="s">
        <v>10</v>
      </c>
    </row>
    <row r="432" spans="1:145" ht="14.25" customHeight="1" x14ac:dyDescent="0.3">
      <c r="A432" s="1" t="s">
        <v>574</v>
      </c>
      <c r="B432" s="1" t="str">
        <f ca="1">IFERROR(__xludf.DUMMYFUNCTION("GOOGLETRANSLATE(A432, ""en"", ""fr"")"),"bonga")</f>
        <v>bonga</v>
      </c>
      <c r="DD432" s="1" t="s">
        <v>105</v>
      </c>
      <c r="EA432" s="1" t="s">
        <v>128</v>
      </c>
      <c r="EO432" s="1" t="s">
        <v>142</v>
      </c>
    </row>
    <row r="433" spans="1:137" ht="14.25" customHeight="1" x14ac:dyDescent="0.3">
      <c r="A433" s="1" t="s">
        <v>575</v>
      </c>
      <c r="B433" s="1" t="str">
        <f ca="1">IFERROR(__xludf.DUMMYFUNCTION("GOOGLETRANSLATE(A433, ""en"", ""fr"")"),"Bonito aigre")</f>
        <v>Bonito aigre</v>
      </c>
      <c r="R433" s="1" t="s">
        <v>15</v>
      </c>
      <c r="CS433" s="1" t="s">
        <v>94</v>
      </c>
    </row>
    <row r="434" spans="1:137" ht="14.25" customHeight="1" x14ac:dyDescent="0.3">
      <c r="A434" s="1" t="s">
        <v>576</v>
      </c>
      <c r="B434" s="1" t="str">
        <f ca="1">IFERROR(__xludf.DUMMYFUNCTION("GOOGLETRANSLATE(A434, ""en"", ""fr"")"),"Lumière Bonne")</f>
        <v>Lumière Bonne</v>
      </c>
      <c r="R434" s="1" t="s">
        <v>15</v>
      </c>
      <c r="CS434" s="1" t="s">
        <v>94</v>
      </c>
    </row>
    <row r="435" spans="1:137" ht="14.25" customHeight="1" x14ac:dyDescent="0.3">
      <c r="A435" s="1" t="s">
        <v>577</v>
      </c>
      <c r="B435" s="1" t="str">
        <f ca="1">IFERROR(__xludf.DUMMYFUNCTION("GOOGLETRANSLATE(A435, ""en"", ""fr"")"),"Condensat de bond")</f>
        <v>Condensat de bond</v>
      </c>
      <c r="R435" s="1" t="s">
        <v>15</v>
      </c>
      <c r="CS435" s="1" t="s">
        <v>94</v>
      </c>
    </row>
    <row r="436" spans="1:137" ht="14.25" customHeight="1" x14ac:dyDescent="0.3">
      <c r="A436" s="1" t="s">
        <v>578</v>
      </c>
      <c r="B436" s="1" t="str">
        <f ca="1">IFERROR(__xludf.DUMMYFUNCTION("GOOGLETRANSLATE(A436, ""en"", ""fr"")"),"réserver")</f>
        <v>réserver</v>
      </c>
      <c r="CR436" s="1" t="s">
        <v>93</v>
      </c>
    </row>
    <row r="437" spans="1:137" ht="14.25" customHeight="1" x14ac:dyDescent="0.3">
      <c r="A437" s="1" t="s">
        <v>579</v>
      </c>
      <c r="B437" s="1" t="str">
        <f ca="1">IFERROR(__xludf.DUMMYFUNCTION("GOOGLETRANSLATE(A437, ""en"", ""fr"")"),"transfert de livres")</f>
        <v>transfert de livres</v>
      </c>
      <c r="CR437" s="1" t="s">
        <v>93</v>
      </c>
    </row>
    <row r="438" spans="1:137" ht="14.25" customHeight="1" x14ac:dyDescent="0.3">
      <c r="A438" s="1" t="s">
        <v>580</v>
      </c>
      <c r="B438" s="1" t="str">
        <f ca="1">IFERROR(__xludf.DUMMYFUNCTION("GOOGLETRANSLATE(A438, ""en"", ""fr"")"),"valeur comptable")</f>
        <v>valeur comptable</v>
      </c>
      <c r="CR438" s="1" t="s">
        <v>93</v>
      </c>
    </row>
    <row r="439" spans="1:137" ht="14.25" customHeight="1" x14ac:dyDescent="0.3">
      <c r="A439" s="1" t="s">
        <v>581</v>
      </c>
      <c r="B439" s="1" t="str">
        <f ca="1">IFERROR(__xludf.DUMMYFUNCTION("GOOGLETRANSLATE(A439, ""en"", ""fr"")"),"boom")</f>
        <v>boom</v>
      </c>
      <c r="M439" s="1" t="s">
        <v>10</v>
      </c>
    </row>
    <row r="440" spans="1:137" ht="14.25" customHeight="1" x14ac:dyDescent="0.3">
      <c r="A440" s="1" t="s">
        <v>582</v>
      </c>
      <c r="B440" s="1" t="str">
        <f ca="1">IFERROR(__xludf.DUMMYFUNCTION("GOOGLETRANSLATE(A440, ""en"", ""fr"")"),"BOOM")</f>
        <v>BOOM</v>
      </c>
      <c r="H440" s="1" t="s">
        <v>4964</v>
      </c>
    </row>
    <row r="441" spans="1:137" ht="14.25" customHeight="1" x14ac:dyDescent="0.3">
      <c r="A441" s="1" t="s">
        <v>583</v>
      </c>
      <c r="B441" s="1" t="str">
        <f ca="1">IFERROR(__xludf.DUMMYFUNCTION("GOOGLETRANSLATE(A441, ""en"", ""fr"")"),"Cycle de boom et de buste")</f>
        <v>Cycle de boom et de buste</v>
      </c>
      <c r="M441" s="1" t="s">
        <v>10</v>
      </c>
    </row>
    <row r="442" spans="1:137" ht="14.25" customHeight="1" x14ac:dyDescent="0.3">
      <c r="A442" s="1" t="s">
        <v>584</v>
      </c>
      <c r="B442" s="1" t="str">
        <f ca="1">IFERROR(__xludf.DUMMYFUNCTION("GOOGLETRANSLATE(A442, ""en"", ""fr"")"),"EN PLEIN ESSOR")</f>
        <v>EN PLEIN ESSOR</v>
      </c>
      <c r="H442" s="1" t="s">
        <v>4964</v>
      </c>
    </row>
    <row r="443" spans="1:137" ht="14.25" customHeight="1" x14ac:dyDescent="0.3">
      <c r="A443" s="1" t="s">
        <v>585</v>
      </c>
      <c r="B443" s="1" t="str">
        <f ca="1">IFERROR(__xludf.DUMMYFUNCTION("GOOGLETRANSLATE(A443, ""en"", ""fr"")"),"BOOSTER")</f>
        <v>BOOSTER</v>
      </c>
      <c r="H443" s="1" t="s">
        <v>4964</v>
      </c>
    </row>
    <row r="444" spans="1:137" ht="14.25" customHeight="1" x14ac:dyDescent="0.3">
      <c r="A444" s="1" t="s">
        <v>586</v>
      </c>
      <c r="B444" s="1" t="str">
        <f ca="1">IFERROR(__xludf.DUMMYFUNCTION("GOOGLETRANSLATE(A444, ""en"", ""fr"")"),"Stimulant")</f>
        <v>Stimulant</v>
      </c>
      <c r="H444" s="1" t="s">
        <v>4964</v>
      </c>
    </row>
    <row r="445" spans="1:137" ht="14.25" customHeight="1" x14ac:dyDescent="0.3">
      <c r="A445" s="1" t="s">
        <v>587</v>
      </c>
      <c r="B445" s="1" t="str">
        <f ca="1">IFERROR(__xludf.DUMMYFUNCTION("GOOGLETRANSLATE(A445, ""en"", ""fr"")"),"Client limite")</f>
        <v>Client limite</v>
      </c>
      <c r="CR445" s="1" t="s">
        <v>93</v>
      </c>
    </row>
    <row r="446" spans="1:137" ht="14.25" customHeight="1" x14ac:dyDescent="0.3">
      <c r="A446" s="1" t="s">
        <v>588</v>
      </c>
      <c r="B446" s="1" t="str">
        <f ca="1">IFERROR(__xludf.DUMMYFUNCTION("GOOGLETRANSLATE(A446, ""en"", ""fr"")"),"réserves empruntées")</f>
        <v>réserves empruntées</v>
      </c>
      <c r="M446" s="1" t="s">
        <v>10</v>
      </c>
    </row>
    <row r="447" spans="1:137" ht="14.25" customHeight="1" x14ac:dyDescent="0.3">
      <c r="A447" s="1" t="s">
        <v>589</v>
      </c>
      <c r="B447" s="1" t="str">
        <f ca="1">IFERROR(__xludf.DUMMYFUNCTION("GOOGLETRANSLATE(A447, ""en"", ""fr"")"),"Boscan")</f>
        <v>Boscan</v>
      </c>
      <c r="R447" s="1" t="s">
        <v>15</v>
      </c>
      <c r="CS447" s="1" t="s">
        <v>94</v>
      </c>
    </row>
    <row r="448" spans="1:137" ht="14.25" customHeight="1" x14ac:dyDescent="0.3">
      <c r="A448" s="1" t="s">
        <v>590</v>
      </c>
      <c r="B448" s="1" t="str">
        <f ca="1">IFERROR(__xludf.DUMMYFUNCTION("GOOGLETRANSLATE(A448, ""en"", ""fr"")"),"boscn")</f>
        <v>boscn</v>
      </c>
      <c r="AU448" s="1" t="s">
        <v>44</v>
      </c>
      <c r="BJ448" s="1" t="s">
        <v>59</v>
      </c>
      <c r="DD448" s="1" t="s">
        <v>105</v>
      </c>
      <c r="EG448" s="1" t="s">
        <v>134</v>
      </c>
    </row>
    <row r="449" spans="1:143" ht="14.25" customHeight="1" x14ac:dyDescent="0.3">
      <c r="A449" s="1" t="s">
        <v>591</v>
      </c>
      <c r="B449" s="1" t="str">
        <f ca="1">IFERROR(__xludf.DUMMYFUNCTION("GOOGLETRANSLATE(A449, ""en"", ""fr"")"),"les deux")</f>
        <v>les deux</v>
      </c>
      <c r="J449" s="1" t="s">
        <v>7</v>
      </c>
    </row>
    <row r="450" spans="1:143" ht="14.25" customHeight="1" x14ac:dyDescent="0.3">
      <c r="A450" s="1" t="s">
        <v>592</v>
      </c>
      <c r="B450" s="1" t="str">
        <f ca="1">IFERROR(__xludf.DUMMYFUNCTION("GOOGLETRANSLATE(A450, ""en"", ""fr"")"),"GOULOT")</f>
        <v>GOULOT</v>
      </c>
      <c r="D450" s="1" t="s">
        <v>4963</v>
      </c>
    </row>
    <row r="451" spans="1:143" ht="14.25" customHeight="1" x14ac:dyDescent="0.3">
      <c r="A451" s="1" t="s">
        <v>593</v>
      </c>
      <c r="B451" s="1" t="str">
        <f ca="1">IFERROR(__xludf.DUMMYFUNCTION("GOOGLETRANSLATE(A451, ""en"", ""fr"")"),"Goulot d'étranglement")</f>
        <v>Goulot d'étranglement</v>
      </c>
      <c r="D451" s="1" t="s">
        <v>4963</v>
      </c>
    </row>
    <row r="452" spans="1:143" ht="14.25" customHeight="1" x14ac:dyDescent="0.3">
      <c r="A452" s="1" t="s">
        <v>594</v>
      </c>
      <c r="B452" s="1" t="str">
        <f ca="1">IFERROR(__xludf.DUMMYFUNCTION("GOOGLETRANSLATE(A452, ""en"", ""fr"")"),"Assemblage de trous inférieurs")</f>
        <v>Assemblage de trous inférieurs</v>
      </c>
      <c r="AY452" s="1" t="s">
        <v>48</v>
      </c>
    </row>
    <row r="453" spans="1:143" ht="14.25" customHeight="1" x14ac:dyDescent="0.3">
      <c r="A453" s="1" t="s">
        <v>595</v>
      </c>
      <c r="B453" s="1" t="str">
        <f ca="1">IFERROR(__xludf.DUMMYFUNCTION("GOOGLETRANSLATE(A453, ""en"", ""fr"")"),"Bouri")</f>
        <v>Bouri</v>
      </c>
      <c r="R453" s="1" t="s">
        <v>15</v>
      </c>
      <c r="CS453" s="1" t="s">
        <v>94</v>
      </c>
    </row>
    <row r="454" spans="1:143" ht="14.25" customHeight="1" x14ac:dyDescent="0.3">
      <c r="A454" s="1" t="s">
        <v>596</v>
      </c>
      <c r="B454" s="1" t="str">
        <f ca="1">IFERROR(__xludf.DUMMYFUNCTION("GOOGLETRANSLATE(A454, ""en"", ""fr"")"),"Rivière Bow")</f>
        <v>Rivière Bow</v>
      </c>
      <c r="R454" s="1" t="s">
        <v>15</v>
      </c>
      <c r="CS454" s="1" t="s">
        <v>94</v>
      </c>
    </row>
    <row r="455" spans="1:143" ht="14.25" customHeight="1" x14ac:dyDescent="0.3">
      <c r="A455" s="1" t="s">
        <v>597</v>
      </c>
      <c r="B455" s="1" t="str">
        <f ca="1">IFERROR(__xludf.DUMMYFUNCTION("GOOGLETRANSLATE(A455, ""en"", ""fr"")"),"écart de la boîte")</f>
        <v>écart de la boîte</v>
      </c>
      <c r="CR455" s="1" t="s">
        <v>93</v>
      </c>
    </row>
    <row r="456" spans="1:143" ht="14.25" customHeight="1" x14ac:dyDescent="0.3">
      <c r="A456" s="1" t="s">
        <v>598</v>
      </c>
      <c r="B456" s="1" t="str">
        <f ca="1">IFERROR(__xludf.DUMMYFUNCTION("GOOGLETRANSLATE(A456, ""en"", ""fr"")"),"BOYCOTTER")</f>
        <v>BOYCOTTER</v>
      </c>
      <c r="D456" s="1" t="s">
        <v>4963</v>
      </c>
    </row>
    <row r="457" spans="1:143" ht="14.25" customHeight="1" x14ac:dyDescent="0.3">
      <c r="A457" s="1" t="s">
        <v>599</v>
      </c>
      <c r="B457" s="1" t="str">
        <f ca="1">IFERROR(__xludf.DUMMYFUNCTION("GOOGLETRANSLATE(A457, ""en"", ""fr"")"),"Boycotté")</f>
        <v>Boycotté</v>
      </c>
      <c r="D457" s="1" t="s">
        <v>4963</v>
      </c>
    </row>
    <row r="458" spans="1:143" ht="14.25" customHeight="1" x14ac:dyDescent="0.3">
      <c r="A458" s="1" t="s">
        <v>600</v>
      </c>
      <c r="B458" s="1" t="str">
        <f ca="1">IFERROR(__xludf.DUMMYFUNCTION("GOOGLETRANSLATE(A458, ""en"", ""fr"")"),"Boycotté")</f>
        <v>Boycotté</v>
      </c>
      <c r="D458" s="1" t="s">
        <v>4963</v>
      </c>
    </row>
    <row r="459" spans="1:143" ht="14.25" customHeight="1" x14ac:dyDescent="0.3">
      <c r="A459" s="1" t="s">
        <v>601</v>
      </c>
      <c r="B459" s="1" t="str">
        <f ca="1">IFERROR(__xludf.DUMMYFUNCTION("GOOGLETRANSLATE(A459, ""en"", ""fr"")"),"Boycotts")</f>
        <v>Boycotts</v>
      </c>
      <c r="D459" s="1" t="s">
        <v>4963</v>
      </c>
    </row>
    <row r="460" spans="1:143" ht="14.25" customHeight="1" x14ac:dyDescent="0.3">
      <c r="A460" s="1" t="s">
        <v>602</v>
      </c>
      <c r="B460" s="1" t="str">
        <f ca="1">IFERROR(__xludf.DUMMYFUNCTION("GOOGLETRANSLATE(A460, ""en"", ""fr"")"),"bp")</f>
        <v>bp</v>
      </c>
      <c r="Z460" s="1" t="s">
        <v>23</v>
      </c>
      <c r="DR460" s="1" t="s">
        <v>119</v>
      </c>
      <c r="DT460" s="1" t="s">
        <v>121</v>
      </c>
      <c r="EM460" s="1" t="s">
        <v>140</v>
      </c>
    </row>
    <row r="461" spans="1:143" ht="14.25" customHeight="1" x14ac:dyDescent="0.3">
      <c r="A461" s="1" t="s">
        <v>603</v>
      </c>
      <c r="B461" s="1" t="str">
        <f ca="1">IFERROR(__xludf.DUMMYFUNCTION("GOOGLETRANSLATE(A461, ""en"", ""fr"")"),"raffinerie BP Rotterdam")</f>
        <v>raffinerie BP Rotterdam</v>
      </c>
      <c r="BF461" s="1" t="s">
        <v>55</v>
      </c>
      <c r="DR461" s="1" t="s">
        <v>119</v>
      </c>
      <c r="DU461" s="1" t="s">
        <v>122</v>
      </c>
      <c r="EB461" s="1" t="s">
        <v>129</v>
      </c>
    </row>
    <row r="462" spans="1:143" ht="14.25" customHeight="1" x14ac:dyDescent="0.3">
      <c r="A462" s="1" t="s">
        <v>604</v>
      </c>
      <c r="B462" s="1" t="str">
        <f ca="1">IFERROR(__xludf.DUMMYFUNCTION("GOOGLETRANSLATE(A462, ""en"", ""fr"")"),"BP Texas City")</f>
        <v>BP Texas City</v>
      </c>
      <c r="BF462" s="1" t="s">
        <v>55</v>
      </c>
      <c r="BI462" s="1" t="s">
        <v>58</v>
      </c>
      <c r="DR462" s="1" t="s">
        <v>119</v>
      </c>
      <c r="EB462" s="1" t="s">
        <v>129</v>
      </c>
      <c r="EM462" s="1" t="s">
        <v>140</v>
      </c>
    </row>
    <row r="463" spans="1:143" ht="14.25" customHeight="1" x14ac:dyDescent="0.3">
      <c r="A463" s="1" t="s">
        <v>605</v>
      </c>
      <c r="B463" s="1" t="str">
        <f ca="1">IFERROR(__xludf.DUMMYFUNCTION("GOOGLETRANSLATE(A463, ""en"", ""fr"")"),"Rivière en laiton")</f>
        <v>Rivière en laiton</v>
      </c>
      <c r="R463" s="1" t="s">
        <v>15</v>
      </c>
      <c r="CS463" s="1" t="s">
        <v>94</v>
      </c>
    </row>
    <row r="464" spans="1:143" ht="14.25" customHeight="1" x14ac:dyDescent="0.3">
      <c r="A464" s="1" t="s">
        <v>606</v>
      </c>
      <c r="B464" s="1" t="str">
        <f ca="1">IFERROR(__xludf.DUMMYFUNCTION("GOOGLETRANSLATE(A464, ""en"", ""fr"")"),"Brésil")</f>
        <v>Brésil</v>
      </c>
      <c r="X464" s="1" t="s">
        <v>21</v>
      </c>
      <c r="CZ464" s="1" t="s">
        <v>101</v>
      </c>
      <c r="EK464" s="1" t="s">
        <v>138</v>
      </c>
    </row>
    <row r="465" spans="1:97" ht="14.25" customHeight="1" x14ac:dyDescent="0.3">
      <c r="A465" s="1" t="s">
        <v>607</v>
      </c>
      <c r="B465" s="1" t="str">
        <f ca="1">IFERROR(__xludf.DUMMYFUNCTION("GOOGLETRANSLATE(A465, ""en"", ""fr"")"),"ENFREINDRE")</f>
        <v>ENFREINDRE</v>
      </c>
      <c r="D465" s="1" t="s">
        <v>4963</v>
      </c>
    </row>
    <row r="466" spans="1:97" ht="14.25" customHeight="1" x14ac:dyDescent="0.3">
      <c r="A466" s="1" t="s">
        <v>608</v>
      </c>
      <c r="B466" s="1" t="str">
        <f ca="1">IFERROR(__xludf.DUMMYFUNCTION("GOOGLETRANSLATE(A466, ""en"", ""fr"")"),"Violé")</f>
        <v>Violé</v>
      </c>
      <c r="D466" s="1" t="s">
        <v>4963</v>
      </c>
    </row>
    <row r="467" spans="1:97" ht="14.25" customHeight="1" x14ac:dyDescent="0.3">
      <c r="A467" s="1" t="s">
        <v>609</v>
      </c>
      <c r="B467" s="1" t="str">
        <f ca="1">IFERROR(__xludf.DUMMYFUNCTION("GOOGLETRANSLATE(A467, ""en"", ""fr"")"),"Violation")</f>
        <v>Violation</v>
      </c>
      <c r="D467" s="1" t="s">
        <v>4963</v>
      </c>
    </row>
    <row r="468" spans="1:97" ht="14.25" customHeight="1" x14ac:dyDescent="0.3">
      <c r="A468" s="1" t="s">
        <v>610</v>
      </c>
      <c r="B468" s="1" t="str">
        <f ca="1">IFERROR(__xludf.DUMMYFUNCTION("GOOGLETRANSLATE(A468, ""en"", ""fr"")"),"Violation")</f>
        <v>Violation</v>
      </c>
      <c r="D468" s="1" t="s">
        <v>4963</v>
      </c>
    </row>
    <row r="469" spans="1:97" ht="14.25" customHeight="1" x14ac:dyDescent="0.3">
      <c r="A469" s="1" t="s">
        <v>611</v>
      </c>
      <c r="B469" s="1" t="str">
        <f ca="1">IFERROR(__xludf.DUMMYFUNCTION("GOOGLETRANSLATE(A469, ""en"", ""fr"")"),"CASSER")</f>
        <v>CASSER</v>
      </c>
      <c r="D469" s="1" t="s">
        <v>4963</v>
      </c>
    </row>
    <row r="470" spans="1:97" ht="14.25" customHeight="1" x14ac:dyDescent="0.3">
      <c r="A470" s="1" t="s">
        <v>612</v>
      </c>
      <c r="B470" s="1" t="str">
        <f ca="1">IFERROR(__xludf.DUMMYFUNCTION("GOOGLETRANSLATE(A470, ""en"", ""fr"")"),"RUPTURE")</f>
        <v>RUPTURE</v>
      </c>
      <c r="D470" s="1" t="s">
        <v>4963</v>
      </c>
    </row>
    <row r="471" spans="1:97" ht="14.25" customHeight="1" x14ac:dyDescent="0.3">
      <c r="A471" s="1" t="s">
        <v>613</v>
      </c>
      <c r="B471" s="1" t="str">
        <f ca="1">IFERROR(__xludf.DUMMYFUNCTION("GOOGLETRANSLATE(A471, ""en"", ""fr"")"),"Ruptures")</f>
        <v>Ruptures</v>
      </c>
      <c r="D471" s="1" t="s">
        <v>4963</v>
      </c>
    </row>
    <row r="472" spans="1:97" ht="14.25" customHeight="1" x14ac:dyDescent="0.3">
      <c r="A472" s="1" t="s">
        <v>614</v>
      </c>
      <c r="B472" s="1" t="str">
        <f ca="1">IFERROR(__xludf.DUMMYFUNCTION("GOOGLETRANSLATE(A472, ""en"", ""fr"")"),"PANNE")</f>
        <v>PANNE</v>
      </c>
      <c r="D472" s="1" t="s">
        <v>4963</v>
      </c>
    </row>
    <row r="473" spans="1:97" ht="14.25" customHeight="1" x14ac:dyDescent="0.3">
      <c r="A473" s="1" t="s">
        <v>615</v>
      </c>
      <c r="B473" s="1" t="str">
        <f ca="1">IFERROR(__xludf.DUMMYFUNCTION("GOOGLETRANSLATE(A473, ""en"", ""fr"")"),"Ventilation")</f>
        <v>Ventilation</v>
      </c>
      <c r="D473" s="1" t="s">
        <v>4963</v>
      </c>
    </row>
    <row r="474" spans="1:97" ht="14.25" customHeight="1" x14ac:dyDescent="0.3">
      <c r="A474" s="1" t="s">
        <v>616</v>
      </c>
      <c r="B474" s="1" t="str">
        <f ca="1">IFERROR(__xludf.DUMMYFUNCTION("GOOGLETRANSLATE(A474, ""en"", ""fr"")"),"Analyse de rentabilité")</f>
        <v>Analyse de rentabilité</v>
      </c>
      <c r="CR474" s="1" t="s">
        <v>93</v>
      </c>
    </row>
    <row r="475" spans="1:97" ht="14.25" customHeight="1" x14ac:dyDescent="0.3">
      <c r="A475" s="1" t="s">
        <v>617</v>
      </c>
      <c r="B475" s="1" t="str">
        <f ca="1">IFERROR(__xludf.DUMMYFUNCTION("GOOGLETRANSLATE(A475, ""en"", ""fr"")"),"point d'équilibre")</f>
        <v>point d'équilibre</v>
      </c>
      <c r="CR475" s="1" t="s">
        <v>93</v>
      </c>
    </row>
    <row r="476" spans="1:97" ht="14.25" customHeight="1" x14ac:dyDescent="0.3">
      <c r="A476" s="1" t="s">
        <v>618</v>
      </c>
      <c r="B476" s="1" t="str">
        <f ca="1">IFERROR(__xludf.DUMMYFUNCTION("GOOGLETRANSLATE(A476, ""en"", ""fr"")"),"RUPTURE")</f>
        <v>RUPTURE</v>
      </c>
      <c r="D476" s="1" t="s">
        <v>4963</v>
      </c>
    </row>
    <row r="477" spans="1:97" ht="14.25" customHeight="1" x14ac:dyDescent="0.3">
      <c r="A477" s="1" t="s">
        <v>619</v>
      </c>
      <c r="B477" s="1" t="str">
        <f ca="1">IFERROR(__xludf.DUMMYFUNCTION("GOOGLETRANSLATE(A477, ""en"", ""fr"")"),"Pauses")</f>
        <v>Pauses</v>
      </c>
      <c r="D477" s="1" t="s">
        <v>4963</v>
      </c>
    </row>
    <row r="478" spans="1:97" ht="14.25" customHeight="1" x14ac:dyDescent="0.3">
      <c r="A478" s="1" t="s">
        <v>620</v>
      </c>
      <c r="B478" s="1" t="str">
        <f ca="1">IFERROR(__xludf.DUMMYFUNCTION("GOOGLETRANSLATE(A478, ""en"", ""fr"")"),"PERCÉE")</f>
        <v>PERCÉE</v>
      </c>
      <c r="H478" s="1" t="s">
        <v>4964</v>
      </c>
    </row>
    <row r="479" spans="1:97" ht="14.25" customHeight="1" x14ac:dyDescent="0.3">
      <c r="A479" s="1" t="s">
        <v>621</v>
      </c>
      <c r="B479" s="1" t="str">
        <f ca="1">IFERROR(__xludf.DUMMYFUNCTION("GOOGLETRANSLATE(A479, ""en"", ""fr"")"),"Percée")</f>
        <v>Percée</v>
      </c>
      <c r="H479" s="1" t="s">
        <v>4964</v>
      </c>
    </row>
    <row r="480" spans="1:97" ht="14.25" customHeight="1" x14ac:dyDescent="0.3">
      <c r="A480" s="1" t="s">
        <v>622</v>
      </c>
      <c r="B480" s="1" t="str">
        <f ca="1">IFERROR(__xludf.DUMMYFUNCTION("GOOGLETRANSLATE(A480, ""en"", ""fr"")"),"Brega")</f>
        <v>Brega</v>
      </c>
      <c r="R480" s="1" t="s">
        <v>15</v>
      </c>
      <c r="CS480" s="1" t="s">
        <v>94</v>
      </c>
    </row>
    <row r="481" spans="1:143" ht="14.25" customHeight="1" x14ac:dyDescent="0.3">
      <c r="A481" s="1" t="s">
        <v>623</v>
      </c>
      <c r="B481" s="1" t="str">
        <f ca="1">IFERROR(__xludf.DUMMYFUNCTION("GOOGLETRANSLATE(A481, ""en"", ""fr"")"),"Brent")</f>
        <v>Brent</v>
      </c>
      <c r="ED481" s="1" t="s">
        <v>131</v>
      </c>
    </row>
    <row r="482" spans="1:143" ht="14.25" customHeight="1" x14ac:dyDescent="0.3">
      <c r="A482" s="1" t="s">
        <v>624</v>
      </c>
      <c r="B482" s="1" t="str">
        <f ca="1">IFERROR(__xludf.DUMMYFUNCTION("GOOGLETRANSLATE(A482, ""en"", ""fr"")"),"Mélange de Brent")</f>
        <v>Mélange de Brent</v>
      </c>
      <c r="R482" s="1" t="s">
        <v>15</v>
      </c>
      <c r="CS482" s="1" t="s">
        <v>94</v>
      </c>
    </row>
    <row r="483" spans="1:143" ht="14.25" customHeight="1" x14ac:dyDescent="0.3">
      <c r="A483" s="1" t="s">
        <v>625</v>
      </c>
      <c r="B483" s="1" t="str">
        <f ca="1">IFERROR(__xludf.DUMMYFUNCTION("GOOGLETRANSLATE(A483, ""en"", ""fr"")"),"Contrat de Bretton Woods")</f>
        <v>Contrat de Bretton Woods</v>
      </c>
      <c r="M483" s="1" t="s">
        <v>10</v>
      </c>
    </row>
    <row r="484" spans="1:143" ht="14.25" customHeight="1" x14ac:dyDescent="0.3">
      <c r="A484" s="1" t="s">
        <v>626</v>
      </c>
      <c r="B484" s="1" t="str">
        <f ca="1">IFERROR(__xludf.DUMMYFUNCTION("GOOGLETRANSLATE(A484, ""en"", ""fr"")"),"POT-DE-VIN")</f>
        <v>POT-DE-VIN</v>
      </c>
      <c r="D484" s="1" t="s">
        <v>4963</v>
      </c>
    </row>
    <row r="485" spans="1:143" ht="14.25" customHeight="1" x14ac:dyDescent="0.3">
      <c r="A485" s="1" t="s">
        <v>627</v>
      </c>
      <c r="B485" s="1" t="str">
        <f ca="1">IFERROR(__xludf.DUMMYFUNCTION("GOOGLETRANSLATE(A485, ""en"", ""fr"")"),"SUBORNÉ")</f>
        <v>SUBORNÉ</v>
      </c>
      <c r="D485" s="1" t="s">
        <v>4963</v>
      </c>
    </row>
    <row r="486" spans="1:143" ht="14.25" customHeight="1" x14ac:dyDescent="0.3">
      <c r="A486" s="1" t="s">
        <v>628</v>
      </c>
      <c r="B486" s="1" t="str">
        <f ca="1">IFERROR(__xludf.DUMMYFUNCTION("GOOGLETRANSLATE(A486, ""en"", ""fr"")"),"Corruption")</f>
        <v>Corruption</v>
      </c>
      <c r="D486" s="1" t="s">
        <v>4963</v>
      </c>
    </row>
    <row r="487" spans="1:143" ht="14.25" customHeight="1" x14ac:dyDescent="0.3">
      <c r="A487" s="1" t="s">
        <v>629</v>
      </c>
      <c r="B487" s="1" t="str">
        <f ca="1">IFERROR(__xludf.DUMMYFUNCTION("GOOGLETRANSLATE(A487, ""en"", ""fr"")"),"CORRUPTION")</f>
        <v>CORRUPTION</v>
      </c>
      <c r="D487" s="1" t="s">
        <v>4963</v>
      </c>
    </row>
    <row r="488" spans="1:143" ht="14.25" customHeight="1" x14ac:dyDescent="0.3">
      <c r="A488" s="1" t="s">
        <v>630</v>
      </c>
      <c r="B488" s="1" t="str">
        <f ca="1">IFERROR(__xludf.DUMMYFUNCTION("GOOGLETRANSLATE(A488, ""en"", ""fr"")"),"Putain")</f>
        <v>Putain</v>
      </c>
      <c r="D488" s="1" t="s">
        <v>4963</v>
      </c>
    </row>
    <row r="489" spans="1:143" ht="14.25" customHeight="1" x14ac:dyDescent="0.3">
      <c r="A489" s="1" t="s">
        <v>631</v>
      </c>
      <c r="B489" s="1" t="str">
        <f ca="1">IFERROR(__xludf.DUMMYFUNCTION("GOOGLETRANSLATE(A489, ""en"", ""fr"")"),"Pot-de-vin")</f>
        <v>Pot-de-vin</v>
      </c>
      <c r="D489" s="1" t="s">
        <v>4963</v>
      </c>
    </row>
    <row r="490" spans="1:143" ht="14.25" customHeight="1" x14ac:dyDescent="0.3">
      <c r="A490" s="1" t="s">
        <v>632</v>
      </c>
      <c r="B490" s="1" t="str">
        <f ca="1">IFERROR(__xludf.DUMMYFUNCTION("GOOGLETRANSLATE(A490, ""en"", ""fr"")"),"bric")</f>
        <v>bric</v>
      </c>
      <c r="X490" s="1" t="s">
        <v>21</v>
      </c>
    </row>
    <row r="491" spans="1:143" ht="14.25" customHeight="1" x14ac:dyDescent="0.3">
      <c r="A491" s="1" t="s">
        <v>633</v>
      </c>
      <c r="B491" s="1" t="str">
        <f ca="1">IFERROR(__xludf.DUMMYFUNCTION("GOOGLETRANSLATE(A491, ""en"", ""fr"")"),"PONT")</f>
        <v>PONT</v>
      </c>
      <c r="D491" s="1" t="s">
        <v>4963</v>
      </c>
    </row>
    <row r="492" spans="1:143" ht="14.25" customHeight="1" x14ac:dyDescent="0.3">
      <c r="A492" s="1" t="s">
        <v>634</v>
      </c>
      <c r="B492" s="1" t="str">
        <f ca="1">IFERROR(__xludf.DUMMYFUNCTION("GOOGLETRANSLATE(A492, ""en"", ""fr"")"),"Bouillon lumineux")</f>
        <v>Bouillon lumineux</v>
      </c>
      <c r="E492" s="1" t="s">
        <v>3</v>
      </c>
    </row>
    <row r="493" spans="1:143" ht="14.25" customHeight="1" x14ac:dyDescent="0.3">
      <c r="A493" s="1" t="s">
        <v>635</v>
      </c>
      <c r="B493" s="1" t="str">
        <f ca="1">IFERROR(__xludf.DUMMYFUNCTION("GOOGLETRANSLATE(A493, ""en"", ""fr"")"),"BRILLANT")</f>
        <v>BRILLANT</v>
      </c>
      <c r="H493" s="1" t="s">
        <v>4964</v>
      </c>
    </row>
    <row r="494" spans="1:143" ht="14.25" customHeight="1" x14ac:dyDescent="0.3">
      <c r="A494" s="1" t="s">
        <v>636</v>
      </c>
      <c r="B494" s="1" t="str">
        <f ca="1">IFERROR(__xludf.DUMMYFUNCTION("GOOGLETRANSLATE(A494, ""en"", ""fr"")"),"British Petroleum")</f>
        <v>British Petroleum</v>
      </c>
      <c r="Z494" s="1" t="s">
        <v>23</v>
      </c>
      <c r="DR494" s="1" t="s">
        <v>119</v>
      </c>
      <c r="DT494" s="1" t="s">
        <v>121</v>
      </c>
      <c r="EM494" s="1" t="s">
        <v>140</v>
      </c>
    </row>
    <row r="495" spans="1:143" ht="14.25" customHeight="1" x14ac:dyDescent="0.3">
      <c r="A495" s="1" t="s">
        <v>637</v>
      </c>
      <c r="B495" s="1" t="str">
        <f ca="1">IFERROR(__xludf.DUMMYFUNCTION("GOOGLETRANSLATE(A495, ""en"", ""fr"")"),"Unité thermique britannique")</f>
        <v>Unité thermique britannique</v>
      </c>
      <c r="EH495" s="1" t="s">
        <v>135</v>
      </c>
    </row>
    <row r="496" spans="1:143" ht="14.25" customHeight="1" x14ac:dyDescent="0.3">
      <c r="A496" s="1" t="s">
        <v>638</v>
      </c>
      <c r="B496" s="1" t="str">
        <f ca="1">IFERROR(__xludf.DUMMYFUNCTION("GOOGLETRANSLATE(A496, ""en"", ""fr"")"),"argent large")</f>
        <v>argent large</v>
      </c>
      <c r="M496" s="1" t="s">
        <v>10</v>
      </c>
    </row>
    <row r="497" spans="1:138" ht="14.25" customHeight="1" x14ac:dyDescent="0.3">
      <c r="A497" s="1" t="s">
        <v>639</v>
      </c>
      <c r="B497" s="1" t="str">
        <f ca="1">IFERROR(__xludf.DUMMYFUNCTION("GOOGLETRANSLATE(A497, ""en"", ""fr"")"),"CASSÉ")</f>
        <v>CASSÉ</v>
      </c>
      <c r="D497" s="1" t="s">
        <v>4963</v>
      </c>
    </row>
    <row r="498" spans="1:138" ht="14.25" customHeight="1" x14ac:dyDescent="0.3">
      <c r="A498" s="1" t="s">
        <v>640</v>
      </c>
      <c r="B498" s="1" t="str">
        <f ca="1">IFERROR(__xludf.DUMMYFUNCTION("GOOGLETRANSLATE(A498, ""en"", ""fr"")"),"courtier")</f>
        <v>courtier</v>
      </c>
      <c r="CR498" s="1" t="s">
        <v>93</v>
      </c>
    </row>
    <row r="499" spans="1:138" ht="14.25" customHeight="1" x14ac:dyDescent="0.3">
      <c r="A499" s="1" t="s">
        <v>641</v>
      </c>
      <c r="B499" s="1" t="str">
        <f ca="1">IFERROR(__xludf.DUMMYFUNCTION("GOOGLETRANSLATE(A499, ""en"", ""fr"")"),"Brunei Light")</f>
        <v>Brunei Light</v>
      </c>
      <c r="R499" s="1" t="s">
        <v>15</v>
      </c>
      <c r="CS499" s="1" t="s">
        <v>94</v>
      </c>
    </row>
    <row r="500" spans="1:138" ht="14.25" customHeight="1" x14ac:dyDescent="0.3">
      <c r="A500" s="1" t="s">
        <v>642</v>
      </c>
      <c r="B500" s="1" t="str">
        <f ca="1">IFERROR(__xludf.DUMMYFUNCTION("GOOGLETRANSLATE(A500, ""en"", ""fr"")"),"BTU")</f>
        <v>BTU</v>
      </c>
      <c r="EH500" s="1" t="s">
        <v>135</v>
      </c>
    </row>
    <row r="501" spans="1:138" ht="14.25" customHeight="1" x14ac:dyDescent="0.3">
      <c r="A501" s="1" t="s">
        <v>643</v>
      </c>
      <c r="B501" s="1" t="str">
        <f ca="1">IFERROR(__xludf.DUMMYFUNCTION("GOOGLETRANSLATE(A501, ""en"", ""fr"")"),"déficit budgétaire")</f>
        <v>déficit budgétaire</v>
      </c>
      <c r="M501" s="1" t="s">
        <v>10</v>
      </c>
    </row>
    <row r="502" spans="1:138" ht="14.25" customHeight="1" x14ac:dyDescent="0.3">
      <c r="A502" s="1" t="s">
        <v>644</v>
      </c>
      <c r="B502" s="1" t="str">
        <f ca="1">IFERROR(__xludf.DUMMYFUNCTION("GOOGLETRANSLATE(A502, ""en"", ""fr"")"),"excédent de budget")</f>
        <v>excédent de budget</v>
      </c>
      <c r="M502" s="1" t="s">
        <v>10</v>
      </c>
    </row>
    <row r="503" spans="1:138" ht="14.25" customHeight="1" x14ac:dyDescent="0.3">
      <c r="A503" s="1" t="s">
        <v>645</v>
      </c>
      <c r="B503" s="1" t="str">
        <f ca="1">IFERROR(__xludf.DUMMYFUNCTION("GOOGLETRANSLATE(A503, ""en"", ""fr"")"),"budgétisation")</f>
        <v>budgétisation</v>
      </c>
      <c r="CR503" s="1" t="s">
        <v>93</v>
      </c>
    </row>
    <row r="504" spans="1:138" ht="14.25" customHeight="1" x14ac:dyDescent="0.3">
      <c r="A504" s="1" t="s">
        <v>646</v>
      </c>
      <c r="B504" s="1" t="str">
        <f ca="1">IFERROR(__xludf.DUMMYFUNCTION("GOOGLETRANSLATE(A504, ""en"", ""fr"")"),"permis de construire")</f>
        <v>permis de construire</v>
      </c>
      <c r="M504" s="1" t="s">
        <v>10</v>
      </c>
    </row>
    <row r="505" spans="1:138" ht="14.25" customHeight="1" x14ac:dyDescent="0.3">
      <c r="A505" s="1" t="s">
        <v>647</v>
      </c>
      <c r="B505" s="1" t="str">
        <f ca="1">IFERROR(__xludf.DUMMYFUNCTION("GOOGLETRANSLATE(A505, ""en"", ""fr"")"),"Marché de l'énergie en vrac")</f>
        <v>Marché de l'énergie en vrac</v>
      </c>
      <c r="EH505" s="1" t="s">
        <v>135</v>
      </c>
    </row>
    <row r="506" spans="1:138" ht="14.25" customHeight="1" x14ac:dyDescent="0.3">
      <c r="A506" s="1" t="s">
        <v>648</v>
      </c>
      <c r="B506" s="1" t="str">
        <f ca="1">IFERROR(__xludf.DUMMYFUNCTION("GOOGLETRANSLATE(A506, ""en"", ""fr"")"),"alimentation en vrac")</f>
        <v>alimentation en vrac</v>
      </c>
      <c r="EH506" s="1" t="s">
        <v>135</v>
      </c>
    </row>
    <row r="507" spans="1:138" ht="14.25" customHeight="1" x14ac:dyDescent="0.3">
      <c r="A507" s="1" t="s">
        <v>649</v>
      </c>
      <c r="B507" s="1" t="str">
        <f ca="1">IFERROR(__xludf.DUMMYFUNCTION("GOOGLETRANSLATE(A507, ""en"", ""fr"")"),"étalage de taureau")</f>
        <v>étalage de taureau</v>
      </c>
      <c r="Q507" s="1" t="s">
        <v>14</v>
      </c>
    </row>
    <row r="508" spans="1:138" ht="14.25" customHeight="1" x14ac:dyDescent="0.3">
      <c r="A508" s="1" t="s">
        <v>650</v>
      </c>
      <c r="B508" s="1" t="str">
        <f ca="1">IFERROR(__xludf.DUMMYFUNCTION("GOOGLETRANSLATE(A508, ""en"", ""fr"")"),"service groupé")</f>
        <v>service groupé</v>
      </c>
      <c r="CS508" s="1" t="s">
        <v>94</v>
      </c>
    </row>
    <row r="509" spans="1:138" ht="14.25" customHeight="1" x14ac:dyDescent="0.3">
      <c r="A509" s="1" t="s">
        <v>651</v>
      </c>
      <c r="B509" s="1" t="str">
        <f ca="1">IFERROR(__xludf.DUMMYFUNCTION("GOOGLETRANSLATE(A509, ""en"", ""fr"")"),"FARDEAU")</f>
        <v>FARDEAU</v>
      </c>
      <c r="D509" s="1" t="s">
        <v>4963</v>
      </c>
    </row>
    <row r="510" spans="1:138" ht="14.25" customHeight="1" x14ac:dyDescent="0.3">
      <c r="A510" s="1" t="s">
        <v>652</v>
      </c>
      <c r="B510" s="1" t="str">
        <f ca="1">IFERROR(__xludf.DUMMYFUNCTION("GOOGLETRANSLATE(A510, ""en"", ""fr"")"),"Farciable")</f>
        <v>Farciable</v>
      </c>
      <c r="D510" s="1" t="s">
        <v>4963</v>
      </c>
    </row>
    <row r="511" spans="1:138" ht="14.25" customHeight="1" x14ac:dyDescent="0.3">
      <c r="A511" s="1" t="s">
        <v>653</v>
      </c>
      <c r="B511" s="1" t="str">
        <f ca="1">IFERROR(__xludf.DUMMYFUNCTION("GOOGLETRANSLATE(A511, ""en"", ""fr"")"),"Fascination")</f>
        <v>Fascination</v>
      </c>
      <c r="D511" s="1" t="s">
        <v>4963</v>
      </c>
    </row>
    <row r="512" spans="1:138" ht="14.25" customHeight="1" x14ac:dyDescent="0.3">
      <c r="A512" s="1" t="s">
        <v>654</v>
      </c>
      <c r="B512" s="1" t="str">
        <f ca="1">IFERROR(__xludf.DUMMYFUNCTION("GOOGLETRANSLATE(A512, ""en"", ""fr"")"),"Fardeau")</f>
        <v>Fardeau</v>
      </c>
      <c r="D512" s="1" t="s">
        <v>4963</v>
      </c>
    </row>
    <row r="513" spans="1:127" ht="14.25" customHeight="1" x14ac:dyDescent="0.3">
      <c r="A513" s="1" t="s">
        <v>655</v>
      </c>
      <c r="B513" s="1" t="str">
        <f ca="1">IFERROR(__xludf.DUMMYFUNCTION("GOOGLETRANSLATE(A513, ""en"", ""fr"")"),"PÉNIBLE")</f>
        <v>PÉNIBLE</v>
      </c>
      <c r="D513" s="1" t="s">
        <v>4963</v>
      </c>
    </row>
    <row r="514" spans="1:127" ht="14.25" customHeight="1" x14ac:dyDescent="0.3">
      <c r="A514" s="1" t="s">
        <v>656</v>
      </c>
      <c r="B514" s="1" t="str">
        <f ca="1">IFERROR(__xludf.DUMMYFUNCTION("GOOGLETRANSLATE(A514, ""en"", ""fr"")"),"burgan")</f>
        <v>burgan</v>
      </c>
      <c r="AU514" s="1" t="s">
        <v>44</v>
      </c>
      <c r="BS514" s="1" t="s">
        <v>68</v>
      </c>
      <c r="DD514" s="1" t="s">
        <v>105</v>
      </c>
      <c r="DW514" s="1" t="s">
        <v>124</v>
      </c>
    </row>
    <row r="515" spans="1:127" ht="14.25" customHeight="1" x14ac:dyDescent="0.3">
      <c r="A515" s="1" t="s">
        <v>657</v>
      </c>
      <c r="B515" s="1" t="str">
        <f ca="1">IFERROR(__xludf.DUMMYFUNCTION("GOOGLETRANSLATE(A515, ""en"", ""fr"")"),"BRÛLÉ")</f>
        <v>BRÛLÉ</v>
      </c>
      <c r="D515" s="1" t="s">
        <v>4963</v>
      </c>
    </row>
    <row r="516" spans="1:127" ht="14.25" customHeight="1" x14ac:dyDescent="0.3">
      <c r="A516" s="1" t="s">
        <v>658</v>
      </c>
      <c r="B516" s="1" t="str">
        <f ca="1">IFERROR(__xludf.DUMMYFUNCTION("GOOGLETRANSLATE(A516, ""en"", ""fr"")"),"cycle économique")</f>
        <v>cycle économique</v>
      </c>
      <c r="M516" s="1" t="s">
        <v>10</v>
      </c>
    </row>
    <row r="517" spans="1:127" ht="14.25" customHeight="1" x14ac:dyDescent="0.3">
      <c r="A517" s="1" t="s">
        <v>659</v>
      </c>
      <c r="B517" s="1" t="str">
        <f ca="1">IFERROR(__xludf.DUMMYFUNCTION("GOOGLETRANSLATE(A517, ""en"", ""fr"")"),"mais")</f>
        <v>mais</v>
      </c>
      <c r="J517" s="1" t="s">
        <v>7</v>
      </c>
    </row>
    <row r="518" spans="1:127" ht="14.25" customHeight="1" x14ac:dyDescent="0.3">
      <c r="A518" s="1" t="s">
        <v>660</v>
      </c>
      <c r="B518" s="1" t="str">
        <f ca="1">IFERROR(__xludf.DUMMYFUNCTION("GOOGLETRANSLATE(A518, ""en"", ""fr"")"),"écartement de papillon")</f>
        <v>écartement de papillon</v>
      </c>
      <c r="Q518" s="1" t="s">
        <v>14</v>
      </c>
    </row>
    <row r="519" spans="1:127" ht="14.25" customHeight="1" x14ac:dyDescent="0.3">
      <c r="A519" s="1" t="s">
        <v>661</v>
      </c>
      <c r="B519" s="1" t="str">
        <f ca="1">IFERROR(__xludf.DUMMYFUNCTION("GOOGLETRANSLATE(A519, ""en"", ""fr"")"),"contrat de Buttonwood")</f>
        <v>contrat de Buttonwood</v>
      </c>
      <c r="M519" s="1" t="s">
        <v>10</v>
      </c>
    </row>
    <row r="520" spans="1:127" ht="14.25" customHeight="1" x14ac:dyDescent="0.3">
      <c r="A520" s="1" t="s">
        <v>662</v>
      </c>
      <c r="B520" s="1" t="str">
        <f ca="1">IFERROR(__xludf.DUMMYFUNCTION("GOOGLETRANSLATE(A520, ""en"", ""fr"")"),"Marché de l'acheteur")</f>
        <v>Marché de l'acheteur</v>
      </c>
      <c r="CR520" s="1" t="s">
        <v>93</v>
      </c>
    </row>
    <row r="521" spans="1:127" ht="14.25" customHeight="1" x14ac:dyDescent="0.3">
      <c r="A521" s="1" t="s">
        <v>663</v>
      </c>
      <c r="B521" s="1" t="str">
        <f ca="1">IFERROR(__xludf.DUMMYFUNCTION("GOOGLETRANSLATE(A521, ""en"", ""fr"")"),"Monopole de l'acheteur")</f>
        <v>Monopole de l'acheteur</v>
      </c>
      <c r="M521" s="1" t="s">
        <v>10</v>
      </c>
    </row>
    <row r="522" spans="1:127" ht="14.25" customHeight="1" x14ac:dyDescent="0.3">
      <c r="A522" s="1" t="s">
        <v>664</v>
      </c>
      <c r="B522" s="1" t="str">
        <f ca="1">IFERROR(__xludf.DUMMYFUNCTION("GOOGLETRANSLATE(A522, ""en"", ""fr"")"),"Acheter une haie")</f>
        <v>Acheter une haie</v>
      </c>
      <c r="Q522" s="1" t="s">
        <v>14</v>
      </c>
    </row>
    <row r="523" spans="1:127" ht="14.25" customHeight="1" x14ac:dyDescent="0.3">
      <c r="A523" s="1" t="s">
        <v>665</v>
      </c>
      <c r="B523" s="1" t="str">
        <f ca="1">IFERROR(__xludf.DUMMYFUNCTION("GOOGLETRANSLATE(A523, ""en"", ""fr"")"),"pouvoir d'achat")</f>
        <v>pouvoir d'achat</v>
      </c>
      <c r="M523" s="1" t="s">
        <v>10</v>
      </c>
    </row>
    <row r="524" spans="1:127" ht="14.25" customHeight="1" x14ac:dyDescent="0.3">
      <c r="A524" s="1" t="s">
        <v>666</v>
      </c>
      <c r="B524" s="1" t="str">
        <f ca="1">IFERROR(__xludf.DUMMYFUNCTION("GOOGLETRANSLATE(A524, ""en"", ""fr"")"),"acheter")</f>
        <v>acheter</v>
      </c>
      <c r="CR524" s="1" t="s">
        <v>93</v>
      </c>
    </row>
    <row r="525" spans="1:127" ht="14.25" customHeight="1" x14ac:dyDescent="0.3">
      <c r="A525" s="1" t="s">
        <v>667</v>
      </c>
      <c r="B525" s="1" t="str">
        <f ca="1">IFERROR(__xludf.DUMMYFUNCTION("GOOGLETRANSLATE(A525, ""en"", ""fr"")"),"par")</f>
        <v>par</v>
      </c>
      <c r="J525" s="1" t="s">
        <v>7</v>
      </c>
    </row>
    <row r="526" spans="1:127" ht="14.25" customHeight="1" x14ac:dyDescent="0.3">
      <c r="A526" s="1" t="s">
        <v>668</v>
      </c>
      <c r="B526" s="1" t="str">
        <f ca="1">IFERROR(__xludf.DUMMYFUNCTION("GOOGLETRANSLATE(A526, ""en"", ""fr"")"),"Cabinda")</f>
        <v>Cabinda</v>
      </c>
      <c r="R526" s="1" t="s">
        <v>15</v>
      </c>
      <c r="CS526" s="1" t="s">
        <v>94</v>
      </c>
    </row>
    <row r="527" spans="1:127" ht="14.25" customHeight="1" x14ac:dyDescent="0.3">
      <c r="A527" s="1" t="s">
        <v>669</v>
      </c>
      <c r="B527" s="1" t="str">
        <f ca="1">IFERROR(__xludf.DUMMYFUNCTION("GOOGLETRANSLATE(A527, ""en"", ""fr"")"),"Calamités")</f>
        <v>Calamités</v>
      </c>
      <c r="D527" s="1" t="s">
        <v>4963</v>
      </c>
    </row>
    <row r="528" spans="1:127" ht="14.25" customHeight="1" x14ac:dyDescent="0.3">
      <c r="A528" s="1" t="s">
        <v>670</v>
      </c>
      <c r="B528" s="1" t="str">
        <f ca="1">IFERROR(__xludf.DUMMYFUNCTION("GOOGLETRANSLATE(A528, ""en"", ""fr"")"),"CALAMITEUX")</f>
        <v>CALAMITEUX</v>
      </c>
      <c r="D528" s="1" t="s">
        <v>4963</v>
      </c>
    </row>
    <row r="529" spans="1:141" ht="14.25" customHeight="1" x14ac:dyDescent="0.3">
      <c r="A529" s="1" t="s">
        <v>671</v>
      </c>
      <c r="B529" s="1" t="str">
        <f ca="1">IFERROR(__xludf.DUMMYFUNCTION("GOOGLETRANSLATE(A529, ""en"", ""fr"")"),"CALAMITÉ")</f>
        <v>CALAMITÉ</v>
      </c>
      <c r="D529" s="1" t="s">
        <v>4963</v>
      </c>
    </row>
    <row r="530" spans="1:141" ht="14.25" customHeight="1" x14ac:dyDescent="0.3">
      <c r="A530" s="1" t="s">
        <v>672</v>
      </c>
      <c r="B530" s="1" t="str">
        <f ca="1">IFERROR(__xludf.DUMMYFUNCTION("GOOGLETRANSLATE(A530, ""en"", ""fr"")"),"propagation du calendrier")</f>
        <v>propagation du calendrier</v>
      </c>
      <c r="Q530" s="1" t="s">
        <v>14</v>
      </c>
    </row>
    <row r="531" spans="1:141" ht="14.25" customHeight="1" x14ac:dyDescent="0.3">
      <c r="A531" s="1" t="s">
        <v>673</v>
      </c>
      <c r="B531" s="1" t="str">
        <f ca="1">IFERROR(__xludf.DUMMYFUNCTION("GOOGLETRANSLATE(A531, ""en"", ""fr"")"),"option d'appel")</f>
        <v>option d'appel</v>
      </c>
      <c r="Q531" s="1" t="s">
        <v>14</v>
      </c>
    </row>
    <row r="532" spans="1:141" ht="14.25" customHeight="1" x14ac:dyDescent="0.3">
      <c r="A532" s="1" t="s">
        <v>674</v>
      </c>
      <c r="B532" s="1" t="str">
        <f ca="1">IFERROR(__xludf.DUMMYFUNCTION("GOOGLETRANSLATE(A532, ""en"", ""fr"")"),"appel d'appel")</f>
        <v>appel d'appel</v>
      </c>
      <c r="Q532" s="1" t="s">
        <v>14</v>
      </c>
    </row>
    <row r="533" spans="1:141" ht="14.25" customHeight="1" x14ac:dyDescent="0.3">
      <c r="A533" s="1" t="s">
        <v>675</v>
      </c>
      <c r="B533" s="1" t="str">
        <f ca="1">IFERROR(__xludf.DUMMYFUNCTION("GOOGLETRANSLATE(A533, ""en"", ""fr"")"),"Échange appelant")</f>
        <v>Échange appelant</v>
      </c>
      <c r="Q533" s="1" t="s">
        <v>14</v>
      </c>
    </row>
    <row r="534" spans="1:141" ht="14.25" customHeight="1" x14ac:dyDescent="0.3">
      <c r="A534" s="1" t="s">
        <v>676</v>
      </c>
      <c r="B534" s="1" t="str">
        <f ca="1">IFERROR(__xludf.DUMMYFUNCTION("GOOGLETRANSLATE(A534, ""en"", ""fr"")"),"appelé")</f>
        <v>appelé</v>
      </c>
      <c r="J534" s="1" t="s">
        <v>7</v>
      </c>
    </row>
    <row r="535" spans="1:141" ht="14.25" customHeight="1" x14ac:dyDescent="0.3">
      <c r="A535" s="1" t="s">
        <v>677</v>
      </c>
      <c r="B535" s="1" t="str">
        <f ca="1">IFERROR(__xludf.DUMMYFUNCTION("GOOGLETRANSLATE(A535, ""en"", ""fr"")"),"peut")</f>
        <v>peut</v>
      </c>
      <c r="J535" s="1" t="s">
        <v>7</v>
      </c>
    </row>
    <row r="536" spans="1:141" ht="14.25" customHeight="1" x14ac:dyDescent="0.3">
      <c r="A536" s="1" t="s">
        <v>678</v>
      </c>
      <c r="B536" s="1" t="str">
        <f ca="1">IFERROR(__xludf.DUMMYFUNCTION("GOOGLETRANSLATE(A536, ""en"", ""fr"")"),"Canada")</f>
        <v>Canada</v>
      </c>
      <c r="AE536" s="1" t="s">
        <v>28</v>
      </c>
      <c r="AR536" s="1" t="s">
        <v>41</v>
      </c>
      <c r="EK536" s="1" t="s">
        <v>138</v>
      </c>
    </row>
    <row r="537" spans="1:141" ht="14.25" customHeight="1" x14ac:dyDescent="0.3">
      <c r="A537" s="1" t="s">
        <v>679</v>
      </c>
      <c r="B537" s="1" t="str">
        <f ca="1">IFERROR(__xludf.DUMMYFUNCTION("GOOGLETRANSLATE(A537, ""en"", ""fr"")"),"PAR Canadien")</f>
        <v>PAR Canadien</v>
      </c>
      <c r="R537" s="1" t="s">
        <v>15</v>
      </c>
      <c r="CS537" s="1" t="s">
        <v>94</v>
      </c>
    </row>
    <row r="538" spans="1:141" ht="14.25" customHeight="1" x14ac:dyDescent="0.3">
      <c r="A538" s="1" t="s">
        <v>680</v>
      </c>
      <c r="B538" s="1" t="str">
        <f ca="1">IFERROR(__xludf.DUMMYFUNCTION("GOOGLETRANSLATE(A538, ""en"", ""fr"")"),"Canadon Seco")</f>
        <v>Canadon Seco</v>
      </c>
      <c r="R538" s="1" t="s">
        <v>15</v>
      </c>
      <c r="CS538" s="1" t="s">
        <v>94</v>
      </c>
    </row>
    <row r="539" spans="1:141" ht="14.25" customHeight="1" x14ac:dyDescent="0.3">
      <c r="A539" s="1" t="s">
        <v>681</v>
      </c>
      <c r="B539" s="1" t="str">
        <f ca="1">IFERROR(__xludf.DUMMYFUNCTION("GOOGLETRANSLATE(A539, ""en"", ""fr"")"),"ANNULER")</f>
        <v>ANNULER</v>
      </c>
      <c r="D539" s="1" t="s">
        <v>4963</v>
      </c>
    </row>
    <row r="540" spans="1:141" ht="14.25" customHeight="1" x14ac:dyDescent="0.3">
      <c r="A540" s="1" t="s">
        <v>682</v>
      </c>
      <c r="B540" s="1" t="str">
        <f ca="1">IFERROR(__xludf.DUMMYFUNCTION("GOOGLETRANSLATE(A540, ""en"", ""fr"")"),"ANNULÉ")</f>
        <v>ANNULÉ</v>
      </c>
      <c r="D540" s="1" t="s">
        <v>4963</v>
      </c>
    </row>
    <row r="541" spans="1:141" ht="14.25" customHeight="1" x14ac:dyDescent="0.3">
      <c r="A541" s="1" t="s">
        <v>683</v>
      </c>
      <c r="B541" s="1" t="str">
        <f ca="1">IFERROR(__xludf.DUMMYFUNCTION("GOOGLETRANSLATE(A541, ""en"", ""fr"")"),"Annulation")</f>
        <v>Annulation</v>
      </c>
      <c r="D541" s="1" t="s">
        <v>4963</v>
      </c>
    </row>
    <row r="542" spans="1:141" ht="14.25" customHeight="1" x14ac:dyDescent="0.3">
      <c r="A542" s="1" t="s">
        <v>684</v>
      </c>
      <c r="B542" s="1" t="str">
        <f ca="1">IFERROR(__xludf.DUMMYFUNCTION("GOOGLETRANSLATE(A542, ""en"", ""fr"")"),"ANNULATION")</f>
        <v>ANNULATION</v>
      </c>
      <c r="D542" s="1" t="s">
        <v>4963</v>
      </c>
    </row>
    <row r="543" spans="1:141" ht="14.25" customHeight="1" x14ac:dyDescent="0.3">
      <c r="A543" s="1" t="s">
        <v>685</v>
      </c>
      <c r="B543" s="1" t="str">
        <f ca="1">IFERROR(__xludf.DUMMYFUNCTION("GOOGLETRANSLATE(A543, ""en"", ""fr"")"),"Annulations")</f>
        <v>Annulations</v>
      </c>
      <c r="D543" s="1" t="s">
        <v>4963</v>
      </c>
    </row>
    <row r="544" spans="1:141" ht="14.25" customHeight="1" x14ac:dyDescent="0.3">
      <c r="A544" s="1" t="s">
        <v>686</v>
      </c>
      <c r="B544" s="1" t="str">
        <f ca="1">IFERROR(__xludf.DUMMYFUNCTION("GOOGLETRANSLATE(A544, ""en"", ""fr"")"),"ANNULÉ")</f>
        <v>ANNULÉ</v>
      </c>
      <c r="D544" s="1" t="s">
        <v>4963</v>
      </c>
    </row>
    <row r="545" spans="1:138" ht="14.25" customHeight="1" x14ac:dyDescent="0.3">
      <c r="A545" s="1" t="s">
        <v>687</v>
      </c>
      <c r="B545" s="1" t="str">
        <f ca="1">IFERROR(__xludf.DUMMYFUNCTION("GOOGLETRANSLATE(A545, ""en"", ""fr"")"),"Annulation")</f>
        <v>Annulation</v>
      </c>
      <c r="D545" s="1" t="s">
        <v>4963</v>
      </c>
    </row>
    <row r="546" spans="1:138" ht="14.25" customHeight="1" x14ac:dyDescent="0.3">
      <c r="A546" s="1" t="s">
        <v>688</v>
      </c>
      <c r="B546" s="1" t="str">
        <f ca="1">IFERROR(__xludf.DUMMYFUNCTION("GOOGLETRANSLATE(A546, ""en"", ""fr"")"),"Annuler")</f>
        <v>Annuler</v>
      </c>
      <c r="D546" s="1" t="s">
        <v>4963</v>
      </c>
    </row>
    <row r="547" spans="1:138" ht="14.25" customHeight="1" x14ac:dyDescent="0.3">
      <c r="A547" s="1" t="s">
        <v>689</v>
      </c>
      <c r="B547" s="1" t="str">
        <f ca="1">IFERROR(__xludf.DUMMYFUNCTION("GOOGLETRANSLATE(A547, ""en"", ""fr"")"),"ne peut pas")</f>
        <v>ne peut pas</v>
      </c>
      <c r="J547" s="1" t="s">
        <v>7</v>
      </c>
    </row>
    <row r="548" spans="1:138" ht="14.25" customHeight="1" x14ac:dyDescent="0.3">
      <c r="A548" s="1" t="s">
        <v>690</v>
      </c>
      <c r="B548" s="1" t="str">
        <f ca="1">IFERROR(__xludf.DUMMYFUNCTION("GOOGLETRANSLATE(A548, ""en"", ""fr"")"),"Cano limon")</f>
        <v>Cano limon</v>
      </c>
      <c r="R548" s="1" t="s">
        <v>15</v>
      </c>
      <c r="CS548" s="1" t="s">
        <v>94</v>
      </c>
    </row>
    <row r="549" spans="1:138" ht="14.25" customHeight="1" x14ac:dyDescent="0.3">
      <c r="A549" s="1" t="s">
        <v>691</v>
      </c>
      <c r="B549" s="1" t="str">
        <f ca="1">IFERROR(__xludf.DUMMYFUNCTION("GOOGLETRANSLATE(A549, ""en"", ""fr"")"),"cantarell")</f>
        <v>cantarell</v>
      </c>
      <c r="AJ549" s="1" t="s">
        <v>33</v>
      </c>
      <c r="DD549" s="1" t="s">
        <v>105</v>
      </c>
      <c r="EG549" s="1" t="s">
        <v>134</v>
      </c>
    </row>
    <row r="550" spans="1:138" ht="14.25" customHeight="1" x14ac:dyDescent="0.3">
      <c r="A550" s="1" t="s">
        <v>692</v>
      </c>
      <c r="B550" s="1" t="str">
        <f ca="1">IFERROR(__xludf.DUMMYFUNCTION("GOOGLETRANSLATE(A550, ""en"", ""fr"")"),"capacité")</f>
        <v>capacité</v>
      </c>
      <c r="M550" s="1" t="s">
        <v>10</v>
      </c>
    </row>
    <row r="551" spans="1:138" ht="14.25" customHeight="1" x14ac:dyDescent="0.3">
      <c r="A551" s="1" t="s">
        <v>693</v>
      </c>
      <c r="B551" s="1" t="str">
        <f ca="1">IFERROR(__xludf.DUMMYFUNCTION("GOOGLETRANSLATE(A551, ""en"", ""fr"")"),"trading des capacités")</f>
        <v>trading des capacités</v>
      </c>
      <c r="EH551" s="1" t="s">
        <v>135</v>
      </c>
    </row>
    <row r="552" spans="1:138" ht="14.25" customHeight="1" x14ac:dyDescent="0.3">
      <c r="A552" s="1" t="s">
        <v>694</v>
      </c>
      <c r="B552" s="1" t="str">
        <f ca="1">IFERROR(__xludf.DUMMYFUNCTION("GOOGLETRANSLATE(A552, ""en"", ""fr"")"),"utilisation de la capacité")</f>
        <v>utilisation de la capacité</v>
      </c>
      <c r="EH552" s="1" t="s">
        <v>135</v>
      </c>
    </row>
    <row r="553" spans="1:138" ht="14.25" customHeight="1" x14ac:dyDescent="0.3">
      <c r="A553" s="1" t="s">
        <v>695</v>
      </c>
      <c r="B553" s="1" t="str">
        <f ca="1">IFERROR(__xludf.DUMMYFUNCTION("GOOGLETRANSLATE(A553, ""en"", ""fr"")"),"capacité d'utilisation")</f>
        <v>capacité d'utilisation</v>
      </c>
      <c r="M553" s="1" t="s">
        <v>10</v>
      </c>
    </row>
    <row r="554" spans="1:138" ht="14.25" customHeight="1" x14ac:dyDescent="0.3">
      <c r="A554" s="1" t="s">
        <v>696</v>
      </c>
      <c r="B554" s="1" t="str">
        <f ca="1">IFERROR(__xludf.DUMMYFUNCTION("GOOGLETRANSLATE(A554, ""en"", ""fr"")"),"taux d'utilisation de la capacité")</f>
        <v>taux d'utilisation de la capacité</v>
      </c>
      <c r="M554" s="1" t="s">
        <v>10</v>
      </c>
    </row>
    <row r="555" spans="1:138" ht="14.25" customHeight="1" x14ac:dyDescent="0.3">
      <c r="A555" s="1" t="s">
        <v>697</v>
      </c>
      <c r="B555" s="1" t="str">
        <f ca="1">IFERROR(__xludf.DUMMYFUNCTION("GOOGLETRANSLATE(A555, ""en"", ""fr"")"),"compte capital")</f>
        <v>compte capital</v>
      </c>
      <c r="M555" s="1" t="s">
        <v>10</v>
      </c>
    </row>
    <row r="556" spans="1:138" ht="14.25" customHeight="1" x14ac:dyDescent="0.3">
      <c r="A556" s="1" t="s">
        <v>698</v>
      </c>
      <c r="B556" s="1" t="str">
        <f ca="1">IFERROR(__xludf.DUMMYFUNCTION("GOOGLETRANSLATE(A556, ""en"", ""fr"")"),"allocation de consommation de capital")</f>
        <v>allocation de consommation de capital</v>
      </c>
      <c r="M556" s="1" t="s">
        <v>10</v>
      </c>
    </row>
    <row r="557" spans="1:138" ht="14.25" customHeight="1" x14ac:dyDescent="0.3">
      <c r="A557" s="1" t="s">
        <v>699</v>
      </c>
      <c r="B557" s="1" t="str">
        <f ca="1">IFERROR(__xludf.DUMMYFUNCTION("GOOGLETRANSLATE(A557, ""en"", ""fr"")"),"coût du capital")</f>
        <v>coût du capital</v>
      </c>
      <c r="CR557" s="1" t="s">
        <v>93</v>
      </c>
    </row>
    <row r="558" spans="1:138" ht="14.25" customHeight="1" x14ac:dyDescent="0.3">
      <c r="A558" s="1" t="s">
        <v>700</v>
      </c>
      <c r="B558" s="1" t="str">
        <f ca="1">IFERROR(__xludf.DUMMYFUNCTION("GOOGLETRANSLATE(A558, ""en"", ""fr"")"),"coûts en capital")</f>
        <v>coûts en capital</v>
      </c>
      <c r="CR558" s="1" t="s">
        <v>93</v>
      </c>
    </row>
    <row r="559" spans="1:138" ht="14.25" customHeight="1" x14ac:dyDescent="0.3">
      <c r="A559" s="1" t="s">
        <v>701</v>
      </c>
      <c r="B559" s="1" t="str">
        <f ca="1">IFERROR(__xludf.DUMMYFUNCTION("GOOGLETRANSLATE(A559, ""en"", ""fr"")"),"la formation de capital")</f>
        <v>la formation de capital</v>
      </c>
      <c r="M559" s="1" t="s">
        <v>10</v>
      </c>
    </row>
    <row r="560" spans="1:138" ht="14.25" customHeight="1" x14ac:dyDescent="0.3">
      <c r="A560" s="1" t="s">
        <v>702</v>
      </c>
      <c r="B560" s="1" t="str">
        <f ca="1">IFERROR(__xludf.DUMMYFUNCTION("GOOGLETRANSLATE(A560, ""en"", ""fr"")"),"secteur des biens d'équipement")</f>
        <v>secteur des biens d'équipement</v>
      </c>
      <c r="M560" s="1" t="s">
        <v>10</v>
      </c>
    </row>
    <row r="561" spans="1:138" ht="14.25" customHeight="1" x14ac:dyDescent="0.3">
      <c r="A561" s="1" t="s">
        <v>703</v>
      </c>
      <c r="B561" s="1" t="str">
        <f ca="1">IFERROR(__xludf.DUMMYFUNCTION("GOOGLETRANSLATE(A561, ""en"", ""fr"")"),"investissement en capital")</f>
        <v>investissement en capital</v>
      </c>
      <c r="CR561" s="1" t="s">
        <v>93</v>
      </c>
    </row>
    <row r="562" spans="1:138" ht="14.25" customHeight="1" x14ac:dyDescent="0.3">
      <c r="A562" s="1" t="s">
        <v>704</v>
      </c>
      <c r="B562" s="1" t="str">
        <f ca="1">IFERROR(__xludf.DUMMYFUNCTION("GOOGLETRANSLATE(A562, ""en"", ""fr"")"),"investissements en capital")</f>
        <v>investissements en capital</v>
      </c>
      <c r="CR562" s="1" t="s">
        <v>93</v>
      </c>
    </row>
    <row r="563" spans="1:138" ht="14.25" customHeight="1" x14ac:dyDescent="0.3">
      <c r="A563" s="1" t="s">
        <v>705</v>
      </c>
      <c r="B563" s="1" t="str">
        <f ca="1">IFERROR(__xludf.DUMMYFUNCTION("GOOGLETRANSLATE(A563, ""en"", ""fr"")"),"bail de capital")</f>
        <v>bail de capital</v>
      </c>
      <c r="CR563" s="1" t="s">
        <v>93</v>
      </c>
    </row>
    <row r="564" spans="1:138" ht="14.25" customHeight="1" x14ac:dyDescent="0.3">
      <c r="A564" s="1" t="s">
        <v>706</v>
      </c>
      <c r="B564" s="1" t="str">
        <f ca="1">IFERROR(__xludf.DUMMYFUNCTION("GOOGLETRANSLATE(A564, ""en"", ""fr"")"),"mouvements de capital")</f>
        <v>mouvements de capital</v>
      </c>
      <c r="M564" s="1" t="s">
        <v>10</v>
      </c>
    </row>
    <row r="565" spans="1:138" ht="14.25" customHeight="1" x14ac:dyDescent="0.3">
      <c r="A565" s="1" t="s">
        <v>707</v>
      </c>
      <c r="B565" s="1" t="str">
        <f ca="1">IFERROR(__xludf.DUMMYFUNCTION("GOOGLETRANSLATE(A565, ""en"", ""fr"")"),"capitalisme")</f>
        <v>capitalisme</v>
      </c>
      <c r="M565" s="1" t="s">
        <v>10</v>
      </c>
    </row>
    <row r="566" spans="1:138" ht="14.25" customHeight="1" x14ac:dyDescent="0.3">
      <c r="A566" s="1" t="s">
        <v>708</v>
      </c>
      <c r="B566" s="1" t="str">
        <f ca="1">IFERROR(__xludf.DUMMYFUNCTION("GOOGLETRANSLATE(A566, ""en"", ""fr"")"),"capitaliste")</f>
        <v>capitaliste</v>
      </c>
      <c r="M566" s="1" t="s">
        <v>10</v>
      </c>
    </row>
    <row r="567" spans="1:138" ht="14.25" customHeight="1" x14ac:dyDescent="0.3">
      <c r="A567" s="1" t="s">
        <v>709</v>
      </c>
      <c r="B567" s="1" t="str">
        <f ca="1">IFERROR(__xludf.DUMMYFUNCTION("GOOGLETRANSLATE(A567, ""en"", ""fr"")"),"Plafonnement")</f>
        <v>Plafonnement</v>
      </c>
      <c r="AY567" s="1" t="s">
        <v>48</v>
      </c>
    </row>
    <row r="568" spans="1:138" ht="14.25" customHeight="1" x14ac:dyDescent="0.3">
      <c r="A568" s="1" t="s">
        <v>710</v>
      </c>
      <c r="B568" s="1" t="str">
        <f ca="1">IFERROR(__xludf.DUMMYFUNCTION("GOOGLETRANSLATE(A568, ""en"", ""fr"")"),"Capitaine")</f>
        <v>Capitaine</v>
      </c>
      <c r="R568" s="1" t="s">
        <v>15</v>
      </c>
      <c r="CS568" s="1" t="s">
        <v>94</v>
      </c>
    </row>
    <row r="569" spans="1:138" ht="14.25" customHeight="1" x14ac:dyDescent="0.3">
      <c r="A569" s="1" t="s">
        <v>711</v>
      </c>
      <c r="B569" s="1" t="str">
        <f ca="1">IFERROR(__xludf.DUMMYFUNCTION("GOOGLETRANSLATE(A569, ""en"", ""fr"")"),"charbon captif")</f>
        <v>charbon captif</v>
      </c>
      <c r="EH569" s="1" t="s">
        <v>135</v>
      </c>
    </row>
    <row r="570" spans="1:138" ht="14.25" customHeight="1" x14ac:dyDescent="0.3">
      <c r="A570" s="1" t="s">
        <v>712</v>
      </c>
      <c r="B570" s="1" t="str">
        <f ca="1">IFERROR(__xludf.DUMMYFUNCTION("GOOGLETRANSLATE(A570, ""en"", ""fr"")"),"Résidu de carbone")</f>
        <v>Résidu de carbone</v>
      </c>
      <c r="E570" s="1" t="s">
        <v>3</v>
      </c>
    </row>
    <row r="571" spans="1:138" ht="14.25" customHeight="1" x14ac:dyDescent="0.3">
      <c r="A571" s="1" t="s">
        <v>713</v>
      </c>
      <c r="B571" s="1" t="str">
        <f ca="1">IFERROR(__xludf.DUMMYFUNCTION("GOOGLETRANSLATE(A571, ""en"", ""fr"")"),"IMPRUDENT")</f>
        <v>IMPRUDENT</v>
      </c>
      <c r="D571" s="1" t="s">
        <v>4963</v>
      </c>
    </row>
    <row r="572" spans="1:138" ht="14.25" customHeight="1" x14ac:dyDescent="0.3">
      <c r="A572" s="1" t="s">
        <v>714</v>
      </c>
      <c r="B572" s="1" t="str">
        <f ca="1">IFERROR(__xludf.DUMMYFUNCTION("GOOGLETRANSLATE(A572, ""en"", ""fr"")"),"NÉGLIGEMMENT")</f>
        <v>NÉGLIGEMMENT</v>
      </c>
      <c r="D572" s="1" t="s">
        <v>4963</v>
      </c>
    </row>
    <row r="573" spans="1:138" ht="14.25" customHeight="1" x14ac:dyDescent="0.3">
      <c r="A573" s="1" t="s">
        <v>715</v>
      </c>
      <c r="B573" s="1" t="str">
        <f ca="1">IFERROR(__xludf.DUMMYFUNCTION("GOOGLETRANSLATE(A573, ""en"", ""fr"")"),"NÉGLIGENCE")</f>
        <v>NÉGLIGENCE</v>
      </c>
      <c r="D573" s="1" t="s">
        <v>4963</v>
      </c>
    </row>
    <row r="574" spans="1:138" ht="14.25" customHeight="1" x14ac:dyDescent="0.3">
      <c r="A574" s="1" t="s">
        <v>716</v>
      </c>
      <c r="B574" s="1" t="str">
        <f ca="1">IFERROR(__xludf.DUMMYFUNCTION("GOOGLETRANSLATE(A574, ""en"", ""fr"")"),"raffinerie de Carson")</f>
        <v>raffinerie de Carson</v>
      </c>
      <c r="BF574" s="1" t="s">
        <v>55</v>
      </c>
      <c r="BI574" s="1" t="s">
        <v>58</v>
      </c>
      <c r="DR574" s="1" t="s">
        <v>119</v>
      </c>
      <c r="EB574" s="1" t="s">
        <v>129</v>
      </c>
    </row>
    <row r="575" spans="1:138" ht="14.25" customHeight="1" x14ac:dyDescent="0.3">
      <c r="A575" s="1" t="s">
        <v>717</v>
      </c>
      <c r="B575" s="1" t="str">
        <f ca="1">IFERROR(__xludf.DUMMYFUNCTION("GOOGLETRANSLATE(A575, ""en"", ""fr"")"),"cartel")</f>
        <v>cartel</v>
      </c>
      <c r="M575" s="1" t="s">
        <v>10</v>
      </c>
    </row>
    <row r="576" spans="1:138" ht="14.25" customHeight="1" x14ac:dyDescent="0.3">
      <c r="A576" s="1" t="s">
        <v>718</v>
      </c>
      <c r="B576" s="1" t="str">
        <f ca="1">IFERROR(__xludf.DUMMYFUNCTION("GOOGLETRANSLATE(A576, ""en"", ""fr"")"),"Cash et équivalents")</f>
        <v>Cash et équivalents</v>
      </c>
      <c r="CR576" s="1" t="s">
        <v>93</v>
      </c>
    </row>
    <row r="577" spans="1:142" ht="14.25" customHeight="1" x14ac:dyDescent="0.3">
      <c r="A577" s="1" t="s">
        <v>719</v>
      </c>
      <c r="B577" s="1" t="str">
        <f ca="1">IFERROR(__xludf.DUMMYFUNCTION("GOOGLETRANSLATE(A577, ""en"", ""fr"")"),"compte de flux de trésorerie")</f>
        <v>compte de flux de trésorerie</v>
      </c>
      <c r="CR577" s="1" t="s">
        <v>93</v>
      </c>
    </row>
    <row r="578" spans="1:142" ht="14.25" customHeight="1" x14ac:dyDescent="0.3">
      <c r="A578" s="1" t="s">
        <v>720</v>
      </c>
      <c r="B578" s="1" t="str">
        <f ca="1">IFERROR(__xludf.DUMMYFUNCTION("GOOGLETRANSLATE(A578, ""en"", ""fr"")"),"arbitrage en espèces et en carry")</f>
        <v>arbitrage en espèces et en carry</v>
      </c>
      <c r="Q578" s="1" t="s">
        <v>14</v>
      </c>
    </row>
    <row r="579" spans="1:142" ht="14.25" customHeight="1" x14ac:dyDescent="0.3">
      <c r="A579" s="1" t="s">
        <v>721</v>
      </c>
      <c r="B579" s="1" t="str">
        <f ca="1">IFERROR(__xludf.DUMMYFUNCTION("GOOGLETRANSLATE(A579, ""en"", ""fr"")"),"Enveloppe")</f>
        <v>Enveloppe</v>
      </c>
      <c r="AY579" s="1" t="s">
        <v>48</v>
      </c>
    </row>
    <row r="580" spans="1:142" ht="14.25" customHeight="1" x14ac:dyDescent="0.3">
      <c r="A580" s="1" t="s">
        <v>722</v>
      </c>
      <c r="B580" s="1" t="str">
        <f ca="1">IFERROR(__xludf.DUMMYFUNCTION("GOOGLETRANSLATE(A580, ""en"", ""fr"")"),"Perforation du boîtier")</f>
        <v>Perforation du boîtier</v>
      </c>
      <c r="E580" s="1" t="s">
        <v>3</v>
      </c>
      <c r="AY580" s="1" t="s">
        <v>48</v>
      </c>
    </row>
    <row r="581" spans="1:142" ht="14.25" customHeight="1" x14ac:dyDescent="0.3">
      <c r="A581" s="1" t="s">
        <v>723</v>
      </c>
      <c r="B581" s="1" t="str">
        <f ca="1">IFERROR(__xludf.DUMMYFUNCTION("GOOGLETRANSLATE(A581, ""en"", ""fr"")"),"Gaz de capitule")</f>
        <v>Gaz de capitule</v>
      </c>
      <c r="EL581" s="1" t="s">
        <v>139</v>
      </c>
    </row>
    <row r="582" spans="1:142" ht="14.25" customHeight="1" x14ac:dyDescent="0.3">
      <c r="A582" s="1" t="s">
        <v>724</v>
      </c>
      <c r="B582" s="1" t="str">
        <f ca="1">IFERROR(__xludf.DUMMYFUNCTION("GOOGLETRANSLATE(A582, ""en"", ""fr"")"),"VICTIMES")</f>
        <v>VICTIMES</v>
      </c>
      <c r="D582" s="1" t="s">
        <v>4963</v>
      </c>
    </row>
    <row r="583" spans="1:142" ht="14.25" customHeight="1" x14ac:dyDescent="0.3">
      <c r="A583" s="1" t="s">
        <v>725</v>
      </c>
      <c r="B583" s="1" t="str">
        <f ca="1">IFERROR(__xludf.DUMMYFUNCTION("GOOGLETRANSLATE(A583, ""en"", ""fr"")"),"CATASTROPHE")</f>
        <v>CATASTROPHE</v>
      </c>
      <c r="D583" s="1" t="s">
        <v>4963</v>
      </c>
    </row>
    <row r="584" spans="1:142" ht="14.25" customHeight="1" x14ac:dyDescent="0.3">
      <c r="A584" s="1" t="s">
        <v>726</v>
      </c>
      <c r="B584" s="1" t="str">
        <f ca="1">IFERROR(__xludf.DUMMYFUNCTION("GOOGLETRANSLATE(A584, ""en"", ""fr"")"),"Catastrophes")</f>
        <v>Catastrophes</v>
      </c>
      <c r="D584" s="1" t="s">
        <v>4963</v>
      </c>
    </row>
    <row r="585" spans="1:142" ht="14.25" customHeight="1" x14ac:dyDescent="0.3">
      <c r="A585" s="1" t="s">
        <v>727</v>
      </c>
      <c r="B585" s="1" t="str">
        <f ca="1">IFERROR(__xludf.DUMMYFUNCTION("GOOGLETRANSLATE(A585, ""en"", ""fr"")"),"CATASTROPHIQUE")</f>
        <v>CATASTROPHIQUE</v>
      </c>
      <c r="D585" s="1" t="s">
        <v>4963</v>
      </c>
    </row>
    <row r="586" spans="1:142" ht="14.25" customHeight="1" x14ac:dyDescent="0.3">
      <c r="A586" s="1" t="s">
        <v>728</v>
      </c>
      <c r="B586" s="1" t="str">
        <f ca="1">IFERROR(__xludf.DUMMYFUNCTION("GOOGLETRANSLATE(A586, ""en"", ""fr"")"),"Catastrophiquement")</f>
        <v>Catastrophiquement</v>
      </c>
      <c r="D586" s="1" t="s">
        <v>4963</v>
      </c>
    </row>
    <row r="587" spans="1:142" ht="14.25" customHeight="1" x14ac:dyDescent="0.3">
      <c r="A587" s="1" t="s">
        <v>729</v>
      </c>
      <c r="B587" s="1" t="str">
        <f ca="1">IFERROR(__xludf.DUMMYFUNCTION("GOOGLETRANSLATE(A587, ""en"", ""fr"")"),"La protection cathodique")</f>
        <v>La protection cathodique</v>
      </c>
      <c r="E587" s="1" t="s">
        <v>3</v>
      </c>
    </row>
    <row r="588" spans="1:142" ht="14.25" customHeight="1" x14ac:dyDescent="0.3">
      <c r="A588" s="1" t="s">
        <v>730</v>
      </c>
      <c r="B588" s="1" t="str">
        <f ca="1">IFERROR(__xludf.DUMMYFUNCTION("GOOGLETRANSLATE(A588, ""en"", ""fr"")"),"PRUDENCE")</f>
        <v>PRUDENCE</v>
      </c>
      <c r="D588" s="1" t="s">
        <v>4963</v>
      </c>
    </row>
    <row r="589" spans="1:142" ht="14.25" customHeight="1" x14ac:dyDescent="0.3">
      <c r="A589" s="1" t="s">
        <v>731</v>
      </c>
      <c r="B589" s="1" t="str">
        <f ca="1">IFERROR(__xludf.DUMMYFUNCTION("GOOGLETRANSLATE(A589, ""en"", ""fr"")"),"DE PRÉCAUTION")</f>
        <v>DE PRÉCAUTION</v>
      </c>
      <c r="D589" s="1" t="s">
        <v>4963</v>
      </c>
    </row>
    <row r="590" spans="1:142" ht="14.25" customHeight="1" x14ac:dyDescent="0.3">
      <c r="A590" s="1" t="s">
        <v>732</v>
      </c>
      <c r="B590" s="1" t="str">
        <f ca="1">IFERROR(__xludf.DUMMYFUNCTION("GOOGLETRANSLATE(A590, ""en"", ""fr"")"),"Averti")</f>
        <v>Averti</v>
      </c>
      <c r="D590" s="1" t="s">
        <v>4963</v>
      </c>
    </row>
    <row r="591" spans="1:142" ht="14.25" customHeight="1" x14ac:dyDescent="0.3">
      <c r="A591" s="1" t="s">
        <v>733</v>
      </c>
      <c r="B591" s="1" t="str">
        <f ca="1">IFERROR(__xludf.DUMMYFUNCTION("GOOGLETRANSLATE(A591, ""en"", ""fr"")"),"Prudence")</f>
        <v>Prudence</v>
      </c>
      <c r="D591" s="1" t="s">
        <v>4963</v>
      </c>
    </row>
    <row r="592" spans="1:142" ht="14.25" customHeight="1" x14ac:dyDescent="0.3">
      <c r="A592" s="1" t="s">
        <v>734</v>
      </c>
      <c r="B592" s="1" t="str">
        <f ca="1">IFERROR(__xludf.DUMMYFUNCTION("GOOGLETRANSLATE(A592, ""en"", ""fr"")"),"Avertissement")</f>
        <v>Avertissement</v>
      </c>
      <c r="D592" s="1" t="s">
        <v>4963</v>
      </c>
    </row>
    <row r="593" spans="1:97" ht="14.25" customHeight="1" x14ac:dyDescent="0.3">
      <c r="A593" s="1" t="s">
        <v>735</v>
      </c>
      <c r="B593" s="1" t="str">
        <f ca="1">IFERROR(__xludf.DUMMYFUNCTION("GOOGLETRANSLATE(A593, ""en"", ""fr"")"),"CESSER")</f>
        <v>CESSER</v>
      </c>
      <c r="D593" s="1" t="s">
        <v>4963</v>
      </c>
    </row>
    <row r="594" spans="1:97" ht="14.25" customHeight="1" x14ac:dyDescent="0.3">
      <c r="A594" s="1" t="s">
        <v>736</v>
      </c>
      <c r="B594" s="1" t="str">
        <f ca="1">IFERROR(__xludf.DUMMYFUNCTION("GOOGLETRANSLATE(A594, ""en"", ""fr"")"),"Cessé")</f>
        <v>Cessé</v>
      </c>
      <c r="D594" s="1" t="s">
        <v>4963</v>
      </c>
    </row>
    <row r="595" spans="1:97" ht="14.25" customHeight="1" x14ac:dyDescent="0.3">
      <c r="A595" s="1" t="s">
        <v>737</v>
      </c>
      <c r="B595" s="1" t="str">
        <f ca="1">IFERROR(__xludf.DUMMYFUNCTION("GOOGLETRANSLATE(A595, ""en"", ""fr"")"),"Cesse")</f>
        <v>Cesse</v>
      </c>
      <c r="D595" s="1" t="s">
        <v>4963</v>
      </c>
    </row>
    <row r="596" spans="1:97" ht="14.25" customHeight="1" x14ac:dyDescent="0.3">
      <c r="A596" s="1" t="s">
        <v>738</v>
      </c>
      <c r="B596" s="1" t="str">
        <f ca="1">IFERROR(__xludf.DUMMYFUNCTION("GOOGLETRANSLATE(A596, ""en"", ""fr"")"),"Cessant")</f>
        <v>Cessant</v>
      </c>
      <c r="D596" s="1" t="s">
        <v>4963</v>
      </c>
    </row>
    <row r="597" spans="1:97" ht="14.25" customHeight="1" x14ac:dyDescent="0.3">
      <c r="A597" s="1" t="s">
        <v>739</v>
      </c>
      <c r="B597" s="1" t="str">
        <f ca="1">IFERROR(__xludf.DUMMYFUNCTION("GOOGLETRANSLATE(A597, ""en"", ""fr"")"),"Ceiba")</f>
        <v>Ceiba</v>
      </c>
      <c r="R597" s="1" t="s">
        <v>15</v>
      </c>
      <c r="CS597" s="1" t="s">
        <v>94</v>
      </c>
    </row>
    <row r="598" spans="1:97" ht="14.25" customHeight="1" x14ac:dyDescent="0.3">
      <c r="A598" s="1" t="s">
        <v>740</v>
      </c>
      <c r="B598" s="1" t="str">
        <f ca="1">IFERROR(__xludf.DUMMYFUNCTION("GOOGLETRANSLATE(A598, ""en"", ""fr"")"),"Ciment")</f>
        <v>Ciment</v>
      </c>
      <c r="AY598" s="1" t="s">
        <v>48</v>
      </c>
    </row>
    <row r="599" spans="1:97" ht="14.25" customHeight="1" x14ac:dyDescent="0.3">
      <c r="A599" s="1" t="s">
        <v>741</v>
      </c>
      <c r="B599" s="1" t="str">
        <f ca="1">IFERROR(__xludf.DUMMYFUNCTION("GOOGLETRANSLATE(A599, ""en"", ""fr"")"),"CENSURER")</f>
        <v>CENSURER</v>
      </c>
      <c r="D599" s="1" t="s">
        <v>4963</v>
      </c>
    </row>
    <row r="600" spans="1:97" ht="14.25" customHeight="1" x14ac:dyDescent="0.3">
      <c r="A600" s="1" t="s">
        <v>742</v>
      </c>
      <c r="B600" s="1" t="str">
        <f ca="1">IFERROR(__xludf.DUMMYFUNCTION("GOOGLETRANSLATE(A600, ""en"", ""fr"")"),"Censuré")</f>
        <v>Censuré</v>
      </c>
      <c r="D600" s="1" t="s">
        <v>4963</v>
      </c>
    </row>
    <row r="601" spans="1:97" ht="14.25" customHeight="1" x14ac:dyDescent="0.3">
      <c r="A601" s="1" t="s">
        <v>743</v>
      </c>
      <c r="B601" s="1" t="str">
        <f ca="1">IFERROR(__xludf.DUMMYFUNCTION("GOOGLETRANSLATE(A601, ""en"", ""fr"")"),"Censures")</f>
        <v>Censures</v>
      </c>
      <c r="D601" s="1" t="s">
        <v>4963</v>
      </c>
    </row>
    <row r="602" spans="1:97" ht="14.25" customHeight="1" x14ac:dyDescent="0.3">
      <c r="A602" s="1" t="s">
        <v>744</v>
      </c>
      <c r="B602" s="1" t="str">
        <f ca="1">IFERROR(__xludf.DUMMYFUNCTION("GOOGLETRANSLATE(A602, ""en"", ""fr"")"),"Censurant")</f>
        <v>Censurant</v>
      </c>
      <c r="D602" s="1" t="s">
        <v>4963</v>
      </c>
    </row>
    <row r="603" spans="1:97" ht="14.25" customHeight="1" x14ac:dyDescent="0.3">
      <c r="A603" s="1" t="s">
        <v>745</v>
      </c>
      <c r="B603" s="1" t="str">
        <f ca="1">IFERROR(__xludf.DUMMYFUNCTION("GOOGLETRANSLATE(A603, ""en"", ""fr"")"),"Centistodes")</f>
        <v>Centistodes</v>
      </c>
      <c r="E603" s="1" t="s">
        <v>3</v>
      </c>
    </row>
    <row r="604" spans="1:97" ht="14.25" customHeight="1" x14ac:dyDescent="0.3">
      <c r="A604" s="1" t="s">
        <v>746</v>
      </c>
      <c r="B604" s="1" t="str">
        <f ca="1">IFERROR(__xludf.DUMMYFUNCTION("GOOGLETRANSLATE(A604, ""en"", ""fr"")"),"Banque centrale")</f>
        <v>Banque centrale</v>
      </c>
      <c r="M604" s="1" t="s">
        <v>10</v>
      </c>
    </row>
    <row r="605" spans="1:97" ht="14.25" customHeight="1" x14ac:dyDescent="0.3">
      <c r="A605" s="1" t="s">
        <v>747</v>
      </c>
      <c r="B605" s="1" t="str">
        <f ca="1">IFERROR(__xludf.DUMMYFUNCTION("GOOGLETRANSLATE(A605, ""en"", ""fr"")"),"Installation de traitement du bitume central")</f>
        <v>Installation de traitement du bitume central</v>
      </c>
      <c r="E605" s="1" t="s">
        <v>3</v>
      </c>
    </row>
    <row r="606" spans="1:97" ht="14.25" customHeight="1" x14ac:dyDescent="0.3">
      <c r="A606" s="1" t="s">
        <v>748</v>
      </c>
      <c r="B606" s="1" t="str">
        <f ca="1">IFERROR(__xludf.DUMMYFUNCTION("GOOGLETRANSLATE(A606, ""en"", ""fr"")"),"Usine de traitement du pétrole brut central")</f>
        <v>Usine de traitement du pétrole brut central</v>
      </c>
      <c r="E606" s="1" t="s">
        <v>3</v>
      </c>
    </row>
    <row r="607" spans="1:97" ht="14.25" customHeight="1" x14ac:dyDescent="0.3">
      <c r="A607" s="1" t="s">
        <v>749</v>
      </c>
      <c r="B607" s="1" t="str">
        <f ca="1">IFERROR(__xludf.DUMMYFUNCTION("GOOGLETRANSLATE(A607, ""en"", ""fr"")"),"Batterie d'huile centrale")</f>
        <v>Batterie d'huile centrale</v>
      </c>
      <c r="E607" s="1" t="s">
        <v>3</v>
      </c>
    </row>
    <row r="608" spans="1:97" ht="14.25" customHeight="1" x14ac:dyDescent="0.3">
      <c r="A608" s="1" t="s">
        <v>750</v>
      </c>
      <c r="B608" s="1" t="str">
        <f ca="1">IFERROR(__xludf.DUMMYFUNCTION("GOOGLETRANSLATE(A608, ""en"", ""fr"")"),"Cepu")</f>
        <v>Cepu</v>
      </c>
      <c r="R608" s="1" t="s">
        <v>15</v>
      </c>
      <c r="CS608" s="1" t="s">
        <v>94</v>
      </c>
    </row>
    <row r="609" spans="1:143" ht="14.25" customHeight="1" x14ac:dyDescent="0.3">
      <c r="A609" s="1" t="s">
        <v>751</v>
      </c>
      <c r="B609" s="1" t="str">
        <f ca="1">IFERROR(__xludf.DUMMYFUNCTION("GOOGLETRANSLATE(A609, ""en"", ""fr"")"),"Cerro Negro")</f>
        <v>Cerro Negro</v>
      </c>
      <c r="R609" s="1" t="s">
        <v>15</v>
      </c>
      <c r="CS609" s="1" t="s">
        <v>94</v>
      </c>
    </row>
    <row r="610" spans="1:143" ht="14.25" customHeight="1" x14ac:dyDescent="0.3">
      <c r="A610" s="1" t="s">
        <v>752</v>
      </c>
      <c r="B610" s="1" t="str">
        <f ca="1">IFERROR(__xludf.DUMMYFUNCTION("GOOGLETRANSLATE(A610, ""en"", ""fr"")"),"déflateur de la chaîne")</f>
        <v>déflateur de la chaîne</v>
      </c>
      <c r="M610" s="1" t="s">
        <v>10</v>
      </c>
    </row>
    <row r="611" spans="1:143" ht="14.25" customHeight="1" x14ac:dyDescent="0.3">
      <c r="A611" s="1" t="s">
        <v>753</v>
      </c>
      <c r="B611" s="1" t="str">
        <f ca="1">IFERROR(__xludf.DUMMYFUNCTION("GOOGLETRANSLATE(A611, ""en"", ""fr"")"),"Main de la chaîne")</f>
        <v>Main de la chaîne</v>
      </c>
      <c r="E611" s="1" t="s">
        <v>3</v>
      </c>
    </row>
    <row r="612" spans="1:143" ht="14.25" customHeight="1" x14ac:dyDescent="0.3">
      <c r="A612" s="1" t="s">
        <v>754</v>
      </c>
      <c r="B612" s="1" t="str">
        <f ca="1">IFERROR(__xludf.DUMMYFUNCTION("GOOGLETRANSLATE(A612, ""en"", ""fr"")"),"DÉFI")</f>
        <v>DÉFI</v>
      </c>
      <c r="D612" s="1" t="s">
        <v>4963</v>
      </c>
    </row>
    <row r="613" spans="1:143" ht="14.25" customHeight="1" x14ac:dyDescent="0.3">
      <c r="A613" s="1" t="s">
        <v>755</v>
      </c>
      <c r="B613" s="1" t="str">
        <f ca="1">IFERROR(__xludf.DUMMYFUNCTION("GOOGLETRANSLATE(A613, ""en"", ""fr"")"),"CONTESTÉ")</f>
        <v>CONTESTÉ</v>
      </c>
      <c r="D613" s="1" t="s">
        <v>4963</v>
      </c>
    </row>
    <row r="614" spans="1:143" ht="14.25" customHeight="1" x14ac:dyDescent="0.3">
      <c r="A614" s="1" t="s">
        <v>756</v>
      </c>
      <c r="B614" s="1" t="str">
        <f ca="1">IFERROR(__xludf.DUMMYFUNCTION("GOOGLETRANSLATE(A614, ""en"", ""fr"")"),"DÉFIS")</f>
        <v>DÉFIS</v>
      </c>
      <c r="D614" s="1" t="s">
        <v>4963</v>
      </c>
    </row>
    <row r="615" spans="1:143" ht="14.25" customHeight="1" x14ac:dyDescent="0.3">
      <c r="A615" s="1" t="s">
        <v>757</v>
      </c>
      <c r="B615" s="1" t="str">
        <f ca="1">IFERROR(__xludf.DUMMYFUNCTION("GOOGLETRANSLATE(A615, ""en"", ""fr"")"),"DIFFICILE")</f>
        <v>DIFFICILE</v>
      </c>
      <c r="D615" s="1" t="s">
        <v>4963</v>
      </c>
    </row>
    <row r="616" spans="1:143" ht="14.25" customHeight="1" x14ac:dyDescent="0.3">
      <c r="A616" s="1" t="s">
        <v>758</v>
      </c>
      <c r="B616" s="1" t="str">
        <f ca="1">IFERROR(__xludf.DUMMYFUNCTION("GOOGLETRANSLATE(A616, ""en"", ""fr"")"),"Champion")</f>
        <v>Champion</v>
      </c>
      <c r="R616" s="1" t="s">
        <v>15</v>
      </c>
      <c r="CS616" s="1" t="s">
        <v>94</v>
      </c>
    </row>
    <row r="617" spans="1:143" ht="14.25" customHeight="1" x14ac:dyDescent="0.3">
      <c r="A617" s="1" t="s">
        <v>759</v>
      </c>
      <c r="B617" s="1" t="str">
        <f ca="1">IFERROR(__xludf.DUMMYFUNCTION("GOOGLETRANSLATE(A617, ""en"", ""fr"")"),"Charges de charge")</f>
        <v>Charges de charge</v>
      </c>
      <c r="D617" s="1" t="s">
        <v>4963</v>
      </c>
    </row>
    <row r="618" spans="1:143" ht="14.25" customHeight="1" x14ac:dyDescent="0.3">
      <c r="A618" s="1" t="s">
        <v>760</v>
      </c>
      <c r="B618" s="1" t="str">
        <f ca="1">IFERROR(__xludf.DUMMYFUNCTION("GOOGLETRANSLATE(A618, ""en"", ""fr"")"),"CHARITABLE")</f>
        <v>CHARITABLE</v>
      </c>
      <c r="H618" s="1" t="s">
        <v>4964</v>
      </c>
    </row>
    <row r="619" spans="1:143" ht="14.25" customHeight="1" x14ac:dyDescent="0.3">
      <c r="A619" s="1" t="s">
        <v>761</v>
      </c>
      <c r="B619" s="1" t="str">
        <f ca="1">IFERROR(__xludf.DUMMYFUNCTION("GOOGLETRANSLATE(A619, ""en"", ""fr"")"),"graphique")</f>
        <v>graphique</v>
      </c>
      <c r="CR619" s="1" t="s">
        <v>93</v>
      </c>
    </row>
    <row r="620" spans="1:143" ht="14.25" customHeight="1" x14ac:dyDescent="0.3">
      <c r="A620" s="1" t="s">
        <v>762</v>
      </c>
      <c r="B620" s="1" t="str">
        <f ca="1">IFERROR(__xludf.DUMMYFUNCTION("GOOGLETRANSLATE(A620, ""en"", ""fr"")"),"analyste financier agréé")</f>
        <v>analyste financier agréé</v>
      </c>
      <c r="M620" s="1" t="s">
        <v>10</v>
      </c>
    </row>
    <row r="621" spans="1:143" ht="14.25" customHeight="1" x14ac:dyDescent="0.3">
      <c r="A621" s="1" t="s">
        <v>763</v>
      </c>
      <c r="B621" s="1" t="str">
        <f ca="1">IFERROR(__xludf.DUMMYFUNCTION("GOOGLETRANSLATE(A621, ""en"", ""fr"")"),"Rafinerie de Cherry Point")</f>
        <v>Rafinerie de Cherry Point</v>
      </c>
      <c r="BF621" s="1" t="s">
        <v>55</v>
      </c>
      <c r="BI621" s="1" t="s">
        <v>58</v>
      </c>
      <c r="DJ621" s="1" t="s">
        <v>111</v>
      </c>
      <c r="DR621" s="1" t="s">
        <v>119</v>
      </c>
    </row>
    <row r="622" spans="1:143" ht="14.25" customHeight="1" x14ac:dyDescent="0.3">
      <c r="A622" s="1" t="s">
        <v>764</v>
      </c>
      <c r="B622" s="1" t="str">
        <f ca="1">IFERROR(__xludf.DUMMYFUNCTION("GOOGLETRANSLATE(A622, ""en"", ""fr"")"),"chevron")</f>
        <v>chevron</v>
      </c>
      <c r="T622" s="1" t="s">
        <v>17</v>
      </c>
      <c r="DT622" s="1" t="s">
        <v>121</v>
      </c>
      <c r="EM622" s="1" t="s">
        <v>140</v>
      </c>
    </row>
    <row r="623" spans="1:143" ht="14.25" customHeight="1" x14ac:dyDescent="0.3">
      <c r="A623" s="1" t="s">
        <v>765</v>
      </c>
      <c r="B623" s="1" t="str">
        <f ca="1">IFERROR(__xludf.DUMMYFUNCTION("GOOGLETRANSLATE(A623, ""en"", ""fr"")"),"raffinerie Chevron Richmond")</f>
        <v>raffinerie Chevron Richmond</v>
      </c>
      <c r="T623" s="1" t="s">
        <v>17</v>
      </c>
      <c r="BF623" s="1" t="s">
        <v>55</v>
      </c>
      <c r="BI623" s="1" t="s">
        <v>58</v>
      </c>
      <c r="DJ623" s="1" t="s">
        <v>111</v>
      </c>
    </row>
    <row r="624" spans="1:143" ht="14.25" customHeight="1" x14ac:dyDescent="0.3">
      <c r="A624" s="1" t="s">
        <v>766</v>
      </c>
      <c r="B624" s="1" t="str">
        <f ca="1">IFERROR(__xludf.DUMMYFUNCTION("GOOGLETRANSLATE(A624, ""en"", ""fr"")"),"Chicago PMI")</f>
        <v>Chicago PMI</v>
      </c>
      <c r="M624" s="1" t="s">
        <v>10</v>
      </c>
    </row>
    <row r="625" spans="1:141" ht="14.25" customHeight="1" x14ac:dyDescent="0.3">
      <c r="A625" s="1" t="s">
        <v>767</v>
      </c>
      <c r="B625" s="1" t="str">
        <f ca="1">IFERROR(__xludf.DUMMYFUNCTION("GOOGLETRANSLATE(A625, ""en"", ""fr"")"),"chiccontepec")</f>
        <v>chiccontepec</v>
      </c>
      <c r="AJ625" s="1" t="s">
        <v>33</v>
      </c>
      <c r="DD625" s="1" t="s">
        <v>105</v>
      </c>
      <c r="EG625" s="1" t="s">
        <v>134</v>
      </c>
    </row>
    <row r="626" spans="1:141" ht="14.25" customHeight="1" x14ac:dyDescent="0.3">
      <c r="A626" s="1" t="s">
        <v>768</v>
      </c>
      <c r="B626" s="1" t="str">
        <f ca="1">IFERROR(__xludf.DUMMYFUNCTION("GOOGLETRANSLATE(A626, ""en"", ""fr"")"),"Chine")</f>
        <v>Chine</v>
      </c>
      <c r="X626" s="1" t="s">
        <v>21</v>
      </c>
      <c r="DV626" s="1" t="s">
        <v>123</v>
      </c>
      <c r="EK626" s="1" t="s">
        <v>138</v>
      </c>
    </row>
    <row r="627" spans="1:141" ht="14.25" customHeight="1" x14ac:dyDescent="0.3">
      <c r="A627" s="1" t="s">
        <v>769</v>
      </c>
      <c r="B627" s="1" t="str">
        <f ca="1">IFERROR(__xludf.DUMMYFUNCTION("GOOGLETRANSLATE(A627, ""en"", ""fr"")"),"le yuan chinois")</f>
        <v>le yuan chinois</v>
      </c>
      <c r="M627" s="1" t="s">
        <v>10</v>
      </c>
    </row>
    <row r="628" spans="1:141" ht="14.25" customHeight="1" x14ac:dyDescent="0.3">
      <c r="A628" s="1" t="s">
        <v>770</v>
      </c>
      <c r="B628" s="1" t="str">
        <f ca="1">IFERROR(__xludf.DUMMYFUNCTION("GOOGLETRANSLATE(A628, ""en"", ""fr"")"),"Chinguetti")</f>
        <v>Chinguetti</v>
      </c>
      <c r="R628" s="1" t="s">
        <v>15</v>
      </c>
      <c r="CS628" s="1" t="s">
        <v>94</v>
      </c>
    </row>
    <row r="629" spans="1:141" ht="14.25" customHeight="1" x14ac:dyDescent="0.3">
      <c r="A629" s="1" t="s">
        <v>771</v>
      </c>
      <c r="B629" s="1" t="str">
        <f ca="1">IFERROR(__xludf.DUMMYFUNCTION("GOOGLETRANSLATE(A629, ""en"", ""fr"")"),"Étouffer")</f>
        <v>Étouffer</v>
      </c>
      <c r="AY629" s="1" t="s">
        <v>48</v>
      </c>
    </row>
    <row r="630" spans="1:141" ht="14.25" customHeight="1" x14ac:dyDescent="0.3">
      <c r="A630" s="1" t="s">
        <v>772</v>
      </c>
      <c r="B630" s="1" t="str">
        <f ca="1">IFERROR(__xludf.DUMMYFUNCTION("GOOGLETRANSLATE(A630, ""en"", ""fr"")"),"prix d'étranglement")</f>
        <v>prix d'étranglement</v>
      </c>
      <c r="M630" s="1" t="s">
        <v>10</v>
      </c>
    </row>
    <row r="631" spans="1:141" ht="14.25" customHeight="1" x14ac:dyDescent="0.3">
      <c r="A631" s="1" t="s">
        <v>773</v>
      </c>
      <c r="B631" s="1" t="str">
        <f ca="1">IFERROR(__xludf.DUMMYFUNCTION("GOOGLETRANSLATE(A631, ""en"", ""fr"")"),"option de choix")</f>
        <v>option de choix</v>
      </c>
      <c r="CR631" s="1" t="s">
        <v>93</v>
      </c>
    </row>
    <row r="632" spans="1:141" ht="14.25" customHeight="1" x14ac:dyDescent="0.3">
      <c r="A632" s="1" t="s">
        <v>774</v>
      </c>
      <c r="B632" s="1" t="str">
        <f ca="1">IFERROR(__xludf.DUMMYFUNCTION("GOOGLETRANSLATE(A632, ""en"", ""fr"")"),"Sapin de Noël")</f>
        <v>Sapin de Noël</v>
      </c>
      <c r="E632" s="1" t="s">
        <v>3</v>
      </c>
    </row>
    <row r="633" spans="1:141" ht="14.25" customHeight="1" x14ac:dyDescent="0.3">
      <c r="A633" s="1" t="s">
        <v>775</v>
      </c>
      <c r="B633" s="1" t="str">
        <f ca="1">IFERROR(__xludf.DUMMYFUNCTION("GOOGLETRANSLATE(A633, ""en"", ""fr"")"),"cic")</f>
        <v>cic</v>
      </c>
      <c r="M633" s="1" t="s">
        <v>10</v>
      </c>
    </row>
    <row r="634" spans="1:141" ht="14.25" customHeight="1" x14ac:dyDescent="0.3">
      <c r="A634" s="1" t="s">
        <v>776</v>
      </c>
      <c r="B634" s="1" t="str">
        <f ca="1">IFERROR(__xludf.DUMMYFUNCTION("GOOGLETRANSLATE(A634, ""en"", ""fr"")"),"raffinerie de cilacap")</f>
        <v>raffinerie de cilacap</v>
      </c>
      <c r="I634" s="1" t="s">
        <v>6</v>
      </c>
      <c r="BF634" s="1" t="s">
        <v>55</v>
      </c>
      <c r="BI634" s="1" t="s">
        <v>58</v>
      </c>
      <c r="CL634" s="1" t="s">
        <v>87</v>
      </c>
      <c r="DN634" s="1" t="s">
        <v>115</v>
      </c>
      <c r="EB634" s="1" t="s">
        <v>129</v>
      </c>
    </row>
    <row r="635" spans="1:141" ht="14.25" customHeight="1" x14ac:dyDescent="0.3">
      <c r="A635" s="1" t="s">
        <v>777</v>
      </c>
      <c r="B635" s="1" t="str">
        <f ca="1">IFERROR(__xludf.DUMMYFUNCTION("GOOGLETRANSLATE(A635, ""en"", ""fr"")"),"Cinta")</f>
        <v>Cinta</v>
      </c>
      <c r="R635" s="1" t="s">
        <v>15</v>
      </c>
      <c r="CS635" s="1" t="s">
        <v>94</v>
      </c>
    </row>
    <row r="636" spans="1:141" ht="14.25" customHeight="1" x14ac:dyDescent="0.3">
      <c r="A636" s="1" t="s">
        <v>778</v>
      </c>
      <c r="B636" s="1" t="str">
        <f ca="1">IFERROR(__xludf.DUMMYFUNCTION("GOOGLETRANSLATE(A636, ""en"", ""fr"")"),"flux circulaire de revenu")</f>
        <v>flux circulaire de revenu</v>
      </c>
      <c r="M636" s="1" t="s">
        <v>10</v>
      </c>
    </row>
    <row r="637" spans="1:141" ht="14.25" customHeight="1" x14ac:dyDescent="0.3">
      <c r="A637" s="1" t="s">
        <v>779</v>
      </c>
      <c r="B637" s="1" t="str">
        <f ca="1">IFERROR(__xludf.DUMMYFUNCTION("GOOGLETRANSLATE(A637, ""en"", ""fr"")"),"Circulation")</f>
        <v>Circulation</v>
      </c>
      <c r="AY637" s="1" t="s">
        <v>48</v>
      </c>
    </row>
    <row r="638" spans="1:141" ht="14.25" customHeight="1" x14ac:dyDescent="0.3">
      <c r="A638" s="1" t="s">
        <v>780</v>
      </c>
      <c r="B638" s="1" t="str">
        <f ca="1">IFERROR(__xludf.DUMMYFUNCTION("GOOGLETRANSLATE(A638, ""en"", ""fr"")"),"CIRCONVENIR")</f>
        <v>CIRCONVENIR</v>
      </c>
      <c r="D638" s="1" t="s">
        <v>4963</v>
      </c>
    </row>
    <row r="639" spans="1:141" ht="14.25" customHeight="1" x14ac:dyDescent="0.3">
      <c r="A639" s="1" t="s">
        <v>781</v>
      </c>
      <c r="B639" s="1" t="str">
        <f ca="1">IFERROR(__xludf.DUMMYFUNCTION("GOOGLETRANSLATE(A639, ""en"", ""fr"")"),"Contrarié")</f>
        <v>Contrarié</v>
      </c>
      <c r="D639" s="1" t="s">
        <v>4963</v>
      </c>
    </row>
    <row r="640" spans="1:141" ht="14.25" customHeight="1" x14ac:dyDescent="0.3">
      <c r="A640" s="1" t="s">
        <v>782</v>
      </c>
      <c r="B640" s="1" t="str">
        <f ca="1">IFERROR(__xludf.DUMMYFUNCTION("GOOGLETRANSLATE(A640, ""en"", ""fr"")"),"Contrariant")</f>
        <v>Contrariant</v>
      </c>
      <c r="D640" s="1" t="s">
        <v>4963</v>
      </c>
    </row>
    <row r="641" spans="1:132" ht="14.25" customHeight="1" x14ac:dyDescent="0.3">
      <c r="A641" s="1" t="s">
        <v>783</v>
      </c>
      <c r="B641" s="1" t="str">
        <f ca="1">IFERROR(__xludf.DUMMYFUNCTION("GOOGLETRANSLATE(A641, ""en"", ""fr"")"),"Contournement")</f>
        <v>Contournement</v>
      </c>
      <c r="D641" s="1" t="s">
        <v>4963</v>
      </c>
    </row>
    <row r="642" spans="1:132" ht="14.25" customHeight="1" x14ac:dyDescent="0.3">
      <c r="A642" s="1" t="s">
        <v>784</v>
      </c>
      <c r="B642" s="1" t="str">
        <f ca="1">IFERROR(__xludf.DUMMYFUNCTION("GOOGLETRANSLATE(A642, ""en"", ""fr"")"),"Circonventions")</f>
        <v>Circonventions</v>
      </c>
      <c r="D642" s="1" t="s">
        <v>4963</v>
      </c>
    </row>
    <row r="643" spans="1:132" ht="14.25" customHeight="1" x14ac:dyDescent="0.3">
      <c r="A643" s="1" t="s">
        <v>785</v>
      </c>
      <c r="B643" s="1" t="str">
        <f ca="1">IFERROR(__xludf.DUMMYFUNCTION("GOOGLETRANSLATE(A643, ""en"", ""fr"")"),"Tournages")</f>
        <v>Tournages</v>
      </c>
      <c r="D643" s="1" t="s">
        <v>4963</v>
      </c>
    </row>
    <row r="644" spans="1:132" ht="14.25" customHeight="1" x14ac:dyDescent="0.3">
      <c r="A644" s="1" t="s">
        <v>786</v>
      </c>
      <c r="B644" s="1" t="str">
        <f ca="1">IFERROR(__xludf.DUMMYFUNCTION("GOOGLETRANSLATE(A644, ""en"", ""fr"")"),"citgo")</f>
        <v>citgo</v>
      </c>
      <c r="BI644" s="1" t="s">
        <v>58</v>
      </c>
      <c r="DG644" s="1" t="s">
        <v>108</v>
      </c>
      <c r="DT644" s="1" t="s">
        <v>121</v>
      </c>
    </row>
    <row r="645" spans="1:132" ht="14.25" customHeight="1" x14ac:dyDescent="0.3">
      <c r="A645" s="1" t="s">
        <v>787</v>
      </c>
      <c r="B645" s="1" t="str">
        <f ca="1">IFERROR(__xludf.DUMMYFUNCTION("GOOGLETRANSLATE(A645, ""en"", ""fr"")"),"Citgo Lake Charles")</f>
        <v>Citgo Lake Charles</v>
      </c>
      <c r="BF645" s="1" t="s">
        <v>55</v>
      </c>
      <c r="BI645" s="1" t="s">
        <v>58</v>
      </c>
      <c r="DG645" s="1" t="s">
        <v>108</v>
      </c>
      <c r="EB645" s="1" t="s">
        <v>129</v>
      </c>
    </row>
    <row r="646" spans="1:132" ht="14.25" customHeight="1" x14ac:dyDescent="0.3">
      <c r="A646" s="1" t="s">
        <v>788</v>
      </c>
      <c r="B646" s="1" t="str">
        <f ca="1">IFERROR(__xludf.DUMMYFUNCTION("GOOGLETRANSLATE(A646, ""en"", ""fr"")"),"taux de chômage civil")</f>
        <v>taux de chômage civil</v>
      </c>
      <c r="M646" s="1" t="s">
        <v>10</v>
      </c>
    </row>
    <row r="647" spans="1:132" ht="14.25" customHeight="1" x14ac:dyDescent="0.3">
      <c r="A647" s="1" t="s">
        <v>789</v>
      </c>
      <c r="B647" s="1" t="str">
        <f ca="1">IFERROR(__xludf.DUMMYFUNCTION("GOOGLETRANSLATE(A647, ""en"", ""fr"")"),"AFFIRMANT")</f>
        <v>AFFIRMANT</v>
      </c>
      <c r="D647" s="1" t="s">
        <v>4963</v>
      </c>
    </row>
    <row r="648" spans="1:132" ht="14.25" customHeight="1" x14ac:dyDescent="0.3">
      <c r="A648" s="1" t="s">
        <v>790</v>
      </c>
      <c r="B648" s="1" t="str">
        <f ca="1">IFERROR(__xludf.DUMMYFUNCTION("GOOGLETRANSLATE(A648, ""en"", ""fr"")"),"RÉCLAMATIONS")</f>
        <v>RÉCLAMATIONS</v>
      </c>
      <c r="D648" s="1" t="s">
        <v>4963</v>
      </c>
    </row>
    <row r="649" spans="1:132" ht="14.25" customHeight="1" x14ac:dyDescent="0.3">
      <c r="A649" s="1" t="s">
        <v>791</v>
      </c>
      <c r="B649" s="1" t="str">
        <f ca="1">IFERROR(__xludf.DUMMYFUNCTION("GOOGLETRANSLATE(A649, ""en"", ""fr"")"),"Claire")</f>
        <v>Claire</v>
      </c>
      <c r="R649" s="1" t="s">
        <v>15</v>
      </c>
      <c r="CS649" s="1" t="s">
        <v>94</v>
      </c>
    </row>
    <row r="650" spans="1:132" ht="14.25" customHeight="1" x14ac:dyDescent="0.3">
      <c r="A650" s="1" t="s">
        <v>792</v>
      </c>
      <c r="B650" s="1" t="str">
        <f ca="1">IFERROR(__xludf.DUMMYFUNCTION("GOOGLETRANSLATE(A650, ""en"", ""fr"")"),"boulonnerie")</f>
        <v>boulonnerie</v>
      </c>
      <c r="CE650" s="1" t="s">
        <v>80</v>
      </c>
      <c r="DD650" s="1" t="s">
        <v>105</v>
      </c>
    </row>
    <row r="651" spans="1:132" ht="14.25" customHeight="1" x14ac:dyDescent="0.3">
      <c r="A651" s="1" t="s">
        <v>793</v>
      </c>
      <c r="B651" s="1" t="str">
        <f ca="1">IFERROR(__xludf.DUMMYFUNCTION("GOOGLETRANSLATE(A651, ""en"", ""fr"")"),"Classification des actifs")</f>
        <v>Classification des actifs</v>
      </c>
      <c r="M651" s="1" t="s">
        <v>10</v>
      </c>
    </row>
    <row r="652" spans="1:132" ht="14.25" customHeight="1" x14ac:dyDescent="0.3">
      <c r="A652" s="1" t="s">
        <v>794</v>
      </c>
      <c r="B652" s="1" t="str">
        <f ca="1">IFERROR(__xludf.DUMMYFUNCTION("GOOGLETRANSLATE(A652, ""en"", ""fr"")"),"Affaissement")</f>
        <v>Affaissement</v>
      </c>
      <c r="D652" s="1" t="s">
        <v>4963</v>
      </c>
    </row>
    <row r="653" spans="1:132" ht="14.25" customHeight="1" x14ac:dyDescent="0.3">
      <c r="A653" s="1" t="s">
        <v>795</v>
      </c>
      <c r="B653" s="1" t="str">
        <f ca="1">IFERROR(__xludf.DUMMYFUNCTION("GOOGLETRANSLATE(A653, ""en"", ""fr"")"),"fermer")</f>
        <v>fermer</v>
      </c>
      <c r="CR653" s="1" t="s">
        <v>93</v>
      </c>
    </row>
    <row r="654" spans="1:132" ht="14.25" customHeight="1" x14ac:dyDescent="0.3">
      <c r="A654" s="1" t="s">
        <v>796</v>
      </c>
      <c r="B654" s="1" t="str">
        <f ca="1">IFERROR(__xludf.DUMMYFUNCTION("GOOGLETRANSLATE(A654, ""en"", ""fr"")"),"FERMÉ")</f>
        <v>FERMÉ</v>
      </c>
      <c r="D654" s="1" t="s">
        <v>4963</v>
      </c>
    </row>
    <row r="655" spans="1:132" ht="14.25" customHeight="1" x14ac:dyDescent="0.3">
      <c r="A655" s="1" t="s">
        <v>797</v>
      </c>
      <c r="B655" s="1" t="str">
        <f ca="1">IFERROR(__xludf.DUMMYFUNCTION("GOOGLETRANSLATE(A655, ""en"", ""fr"")"),"économie fermée")</f>
        <v>économie fermée</v>
      </c>
      <c r="M655" s="1" t="s">
        <v>10</v>
      </c>
    </row>
    <row r="656" spans="1:132" ht="14.25" customHeight="1" x14ac:dyDescent="0.3">
      <c r="A656" s="1" t="s">
        <v>798</v>
      </c>
      <c r="B656" s="1" t="str">
        <f ca="1">IFERROR(__xludf.DUMMYFUNCTION("GOOGLETRANSLATE(A656, ""en"", ""fr"")"),"Enfermé")</f>
        <v>Enfermé</v>
      </c>
      <c r="E656" s="1" t="s">
        <v>3</v>
      </c>
    </row>
    <row r="657" spans="1:115" ht="14.25" customHeight="1" x14ac:dyDescent="0.3">
      <c r="A657" s="1" t="s">
        <v>799</v>
      </c>
      <c r="B657" s="1" t="str">
        <f ca="1">IFERROR(__xludf.DUMMYFUNCTION("GOOGLETRANSLATE(A657, ""en"", ""fr"")"),"LIQUIDATION")</f>
        <v>LIQUIDATION</v>
      </c>
      <c r="D657" s="1" t="s">
        <v>4963</v>
      </c>
    </row>
    <row r="658" spans="1:115" ht="14.25" customHeight="1" x14ac:dyDescent="0.3">
      <c r="A658" s="1" t="s">
        <v>800</v>
      </c>
      <c r="B658" s="1" t="str">
        <f ca="1">IFERROR(__xludf.DUMMYFUNCTION("GOOGLETRANSLATE(A658, ""en"", ""fr"")"),"Fermer")</f>
        <v>Fermer</v>
      </c>
      <c r="D658" s="1" t="s">
        <v>4963</v>
      </c>
    </row>
    <row r="659" spans="1:115" ht="14.25" customHeight="1" x14ac:dyDescent="0.3">
      <c r="A659" s="1" t="s">
        <v>801</v>
      </c>
      <c r="B659" s="1" t="str">
        <f ca="1">IFERROR(__xludf.DUMMYFUNCTION("GOOGLETRANSLATE(A659, ""en"", ""fr"")"),"FERMETURE")</f>
        <v>FERMETURE</v>
      </c>
      <c r="D659" s="1" t="s">
        <v>4963</v>
      </c>
    </row>
    <row r="660" spans="1:115" ht="14.25" customHeight="1" x14ac:dyDescent="0.3">
      <c r="A660" s="1" t="s">
        <v>802</v>
      </c>
      <c r="B660" s="1" t="str">
        <f ca="1">IFERROR(__xludf.DUMMYFUNCTION("GOOGLETRANSLATE(A660, ""en"", ""fr"")"),"Fermeture")</f>
        <v>Fermeture</v>
      </c>
      <c r="D660" s="1" t="s">
        <v>4963</v>
      </c>
    </row>
    <row r="661" spans="1:115" ht="14.25" customHeight="1" x14ac:dyDescent="0.3">
      <c r="A661" s="1" t="s">
        <v>803</v>
      </c>
      <c r="B661" s="1" t="str">
        <f ca="1">IFERROR(__xludf.DUMMYFUNCTION("GOOGLETRANSLATE(A661, ""en"", ""fr"")"),"FERMETURE")</f>
        <v>FERMETURE</v>
      </c>
      <c r="D661" s="1" t="s">
        <v>4963</v>
      </c>
    </row>
    <row r="662" spans="1:115" ht="14.25" customHeight="1" x14ac:dyDescent="0.3">
      <c r="A662" s="1" t="s">
        <v>804</v>
      </c>
      <c r="B662" s="1" t="str">
        <f ca="1">IFERROR(__xludf.DUMMYFUNCTION("GOOGLETRANSLATE(A662, ""en"", ""fr"")"),"Fermetures")</f>
        <v>Fermetures</v>
      </c>
      <c r="D662" s="1" t="s">
        <v>4963</v>
      </c>
    </row>
    <row r="663" spans="1:115" ht="14.25" customHeight="1" x14ac:dyDescent="0.3">
      <c r="A663" s="1" t="s">
        <v>805</v>
      </c>
      <c r="B663" s="1" t="str">
        <f ca="1">IFERROR(__xludf.DUMMYFUNCTION("GOOGLETRANSLATE(A663, ""en"", ""fr"")"),"Point de nuage")</f>
        <v>Point de nuage</v>
      </c>
      <c r="E663" s="1" t="s">
        <v>3</v>
      </c>
    </row>
    <row r="664" spans="1:115" ht="14.25" customHeight="1" x14ac:dyDescent="0.3">
      <c r="A664" s="1" t="s">
        <v>806</v>
      </c>
      <c r="B664" s="1" t="str">
        <f ca="1">IFERROR(__xludf.DUMMYFUNCTION("GOOGLETRANSLATE(A664, ""en"", ""fr"")"),"Méthane de lit de charbon")</f>
        <v>Méthane de lit de charbon</v>
      </c>
      <c r="E664" s="1" t="s">
        <v>3</v>
      </c>
    </row>
    <row r="665" spans="1:115" ht="14.25" customHeight="1" x14ac:dyDescent="0.3">
      <c r="A665" s="1" t="s">
        <v>807</v>
      </c>
      <c r="B665" s="1" t="str">
        <f ca="1">IFERROR(__xludf.DUMMYFUNCTION("GOOGLETRANSLATE(A665, ""en"", ""fr"")"),"Gaz de couture de charbon")</f>
        <v>Gaz de couture de charbon</v>
      </c>
      <c r="E665" s="1" t="s">
        <v>3</v>
      </c>
    </row>
    <row r="666" spans="1:115" ht="14.25" customHeight="1" x14ac:dyDescent="0.3">
      <c r="A666" s="1" t="s">
        <v>808</v>
      </c>
      <c r="B666" s="1" t="str">
        <f ca="1">IFERROR(__xludf.DUMMYFUNCTION("GOOGLETRANSLATE(A666, ""en"", ""fr"")"),"huile de charbon")</f>
        <v>huile de charbon</v>
      </c>
      <c r="DD666" s="1" t="s">
        <v>105</v>
      </c>
      <c r="DF666" s="1" t="s">
        <v>107</v>
      </c>
      <c r="DK666" s="1" t="s">
        <v>112</v>
      </c>
    </row>
    <row r="667" spans="1:115" ht="14.25" customHeight="1" x14ac:dyDescent="0.3">
      <c r="A667" s="1" t="s">
        <v>809</v>
      </c>
      <c r="B667" s="1" t="str">
        <f ca="1">IFERROR(__xludf.DUMMYFUNCTION("GOOGLETRANSLATE(A667, ""en"", ""fr"")"),"CONTRAINDRE")</f>
        <v>CONTRAINDRE</v>
      </c>
      <c r="D667" s="1" t="s">
        <v>4963</v>
      </c>
    </row>
    <row r="668" spans="1:115" ht="14.25" customHeight="1" x14ac:dyDescent="0.3">
      <c r="A668" s="1" t="s">
        <v>810</v>
      </c>
      <c r="B668" s="1" t="str">
        <f ca="1">IFERROR(__xludf.DUMMYFUNCTION("GOOGLETRANSLATE(A668, ""en"", ""fr"")"),"Contraint")</f>
        <v>Contraint</v>
      </c>
      <c r="D668" s="1" t="s">
        <v>4963</v>
      </c>
    </row>
    <row r="669" spans="1:115" ht="14.25" customHeight="1" x14ac:dyDescent="0.3">
      <c r="A669" s="1" t="s">
        <v>811</v>
      </c>
      <c r="B669" s="1" t="str">
        <f ca="1">IFERROR(__xludf.DUMMYFUNCTION("GOOGLETRANSLATE(A669, ""en"", ""fr"")"),"Coercières")</f>
        <v>Coercières</v>
      </c>
      <c r="D669" s="1" t="s">
        <v>4963</v>
      </c>
    </row>
    <row r="670" spans="1:115" ht="14.25" customHeight="1" x14ac:dyDescent="0.3">
      <c r="A670" s="1" t="s">
        <v>812</v>
      </c>
      <c r="B670" s="1" t="str">
        <f ca="1">IFERROR(__xludf.DUMMYFUNCTION("GOOGLETRANSLATE(A670, ""en"", ""fr"")"),"Coercition")</f>
        <v>Coercition</v>
      </c>
      <c r="D670" s="1" t="s">
        <v>4963</v>
      </c>
    </row>
    <row r="671" spans="1:115" ht="14.25" customHeight="1" x14ac:dyDescent="0.3">
      <c r="A671" s="1" t="s">
        <v>813</v>
      </c>
      <c r="B671" s="1" t="str">
        <f ca="1">IFERROR(__xludf.DUMMYFUNCTION("GOOGLETRANSLATE(A671, ""en"", ""fr"")"),"COERCITION")</f>
        <v>COERCITION</v>
      </c>
      <c r="D671" s="1" t="s">
        <v>4963</v>
      </c>
    </row>
    <row r="672" spans="1:115" ht="14.25" customHeight="1" x14ac:dyDescent="0.3">
      <c r="A672" s="1" t="s">
        <v>814</v>
      </c>
      <c r="B672" s="1" t="str">
        <f ca="1">IFERROR(__xludf.DUMMYFUNCTION("GOOGLETRANSLATE(A672, ""en"", ""fr"")"),"COERCITIF")</f>
        <v>COERCITIF</v>
      </c>
      <c r="D672" s="1" t="s">
        <v>4963</v>
      </c>
    </row>
    <row r="673" spans="1:142" ht="14.25" customHeight="1" x14ac:dyDescent="0.3">
      <c r="A673" s="1" t="s">
        <v>815</v>
      </c>
      <c r="B673" s="1" t="str">
        <f ca="1">IFERROR(__xludf.DUMMYFUNCTION("GOOGLETRANSLATE(A673, ""en"", ""fr"")"),"Tube enroulé")</f>
        <v>Tube enroulé</v>
      </c>
      <c r="E673" s="1" t="s">
        <v>3</v>
      </c>
      <c r="AY673" s="1" t="s">
        <v>48</v>
      </c>
    </row>
    <row r="674" spans="1:142" ht="14.25" customHeight="1" x14ac:dyDescent="0.3">
      <c r="A674" s="1" t="s">
        <v>816</v>
      </c>
      <c r="B674" s="1" t="str">
        <f ca="1">IFERROR(__xludf.DUMMYFUNCTION("GOOGLETRANSLATE(A674, ""en"", ""fr"")"),"indicateur de coïncidence")</f>
        <v>indicateur de coïncidence</v>
      </c>
      <c r="M674" s="1" t="s">
        <v>10</v>
      </c>
    </row>
    <row r="675" spans="1:142" ht="14.25" customHeight="1" x14ac:dyDescent="0.3">
      <c r="A675" s="1" t="s">
        <v>817</v>
      </c>
      <c r="B675" s="1" t="str">
        <f ca="1">IFERROR(__xludf.DUMMYFUNCTION("GOOGLETRANSLATE(A675, ""en"", ""fr"")"),"du Coca")</f>
        <v>du Coca</v>
      </c>
      <c r="EL675" s="1" t="s">
        <v>139</v>
      </c>
    </row>
    <row r="676" spans="1:142" ht="14.25" customHeight="1" x14ac:dyDescent="0.3">
      <c r="A676" s="1" t="s">
        <v>818</v>
      </c>
      <c r="B676" s="1" t="str">
        <f ca="1">IFERROR(__xludf.DUMMYFUNCTION("GOOGLETRANSLATE(A676, ""en"", ""fr"")"),"Cola")</f>
        <v>Cola</v>
      </c>
      <c r="M676" s="1" t="s">
        <v>10</v>
      </c>
    </row>
    <row r="677" spans="1:142" ht="14.25" customHeight="1" x14ac:dyDescent="0.3">
      <c r="A677" s="1" t="s">
        <v>819</v>
      </c>
      <c r="B677" s="1" t="str">
        <f ca="1">IFERROR(__xludf.DUMMYFUNCTION("GOOGLETRANSLATE(A677, ""en"", ""fr"")"),"Lac froid")</f>
        <v>Lac froid</v>
      </c>
      <c r="R677" s="1" t="s">
        <v>15</v>
      </c>
      <c r="CS677" s="1" t="s">
        <v>94</v>
      </c>
    </row>
    <row r="678" spans="1:142" ht="14.25" customHeight="1" x14ac:dyDescent="0.3">
      <c r="A678" s="1" t="s">
        <v>820</v>
      </c>
      <c r="B678" s="1" t="str">
        <f ca="1">IFERROR(__xludf.DUMMYFUNCTION("GOOGLETRANSLATE(A678, ""en"", ""fr"")"),"Rétablissement à froid")</f>
        <v>Rétablissement à froid</v>
      </c>
      <c r="E678" s="1" t="s">
        <v>3</v>
      </c>
    </row>
    <row r="679" spans="1:142" ht="14.25" customHeight="1" x14ac:dyDescent="0.3">
      <c r="A679" s="1" t="s">
        <v>821</v>
      </c>
      <c r="B679" s="1" t="str">
        <f ca="1">IFERROR(__xludf.DUMMYFUNCTION("GOOGLETRANSLATE(A679, ""en"", ""fr"")"),"Évent")</f>
        <v>Évent</v>
      </c>
      <c r="E679" s="1" t="s">
        <v>3</v>
      </c>
    </row>
    <row r="680" spans="1:142" ht="14.25" customHeight="1" x14ac:dyDescent="0.3">
      <c r="A680" s="1" t="s">
        <v>822</v>
      </c>
      <c r="B680" s="1" t="str">
        <f ca="1">IFERROR(__xludf.DUMMYFUNCTION("GOOGLETRANSLATE(A680, ""en"", ""fr"")"),"COLLABORER")</f>
        <v>COLLABORER</v>
      </c>
      <c r="H680" s="1" t="s">
        <v>4964</v>
      </c>
    </row>
    <row r="681" spans="1:142" ht="14.25" customHeight="1" x14ac:dyDescent="0.3">
      <c r="A681" s="1" t="s">
        <v>823</v>
      </c>
      <c r="B681" s="1" t="str">
        <f ca="1">IFERROR(__xludf.DUMMYFUNCTION("GOOGLETRANSLATE(A681, ""en"", ""fr"")"),"Collaboré")</f>
        <v>Collaboré</v>
      </c>
      <c r="H681" s="1" t="s">
        <v>4964</v>
      </c>
    </row>
    <row r="682" spans="1:142" ht="14.25" customHeight="1" x14ac:dyDescent="0.3">
      <c r="A682" s="1" t="s">
        <v>824</v>
      </c>
      <c r="B682" s="1" t="str">
        <f ca="1">IFERROR(__xludf.DUMMYFUNCTION("GOOGLETRANSLATE(A682, ""en"", ""fr"")"),"Collaboration")</f>
        <v>Collaboration</v>
      </c>
      <c r="H682" s="1" t="s">
        <v>4964</v>
      </c>
    </row>
    <row r="683" spans="1:142" ht="14.25" customHeight="1" x14ac:dyDescent="0.3">
      <c r="A683" s="1" t="s">
        <v>825</v>
      </c>
      <c r="B683" s="1" t="str">
        <f ca="1">IFERROR(__xludf.DUMMYFUNCTION("GOOGLETRANSLATE(A683, ""en"", ""fr"")"),"Collaboration")</f>
        <v>Collaboration</v>
      </c>
      <c r="H683" s="1" t="s">
        <v>4964</v>
      </c>
    </row>
    <row r="684" spans="1:142" ht="14.25" customHeight="1" x14ac:dyDescent="0.3">
      <c r="A684" s="1" t="s">
        <v>826</v>
      </c>
      <c r="B684" s="1" t="str">
        <f ca="1">IFERROR(__xludf.DUMMYFUNCTION("GOOGLETRANSLATE(A684, ""en"", ""fr"")"),"COLLABORATION")</f>
        <v>COLLABORATION</v>
      </c>
      <c r="H684" s="1" t="s">
        <v>4964</v>
      </c>
    </row>
    <row r="685" spans="1:142" ht="14.25" customHeight="1" x14ac:dyDescent="0.3">
      <c r="A685" s="1" t="s">
        <v>827</v>
      </c>
      <c r="B685" s="1" t="str">
        <f ca="1">IFERROR(__xludf.DUMMYFUNCTION("GOOGLETRANSLATE(A685, ""en"", ""fr"")"),"Collaborations")</f>
        <v>Collaborations</v>
      </c>
      <c r="H685" s="1" t="s">
        <v>4964</v>
      </c>
    </row>
    <row r="686" spans="1:142" ht="14.25" customHeight="1" x14ac:dyDescent="0.3">
      <c r="A686" s="1" t="s">
        <v>828</v>
      </c>
      <c r="B686" s="1" t="str">
        <f ca="1">IFERROR(__xludf.DUMMYFUNCTION("GOOGLETRANSLATE(A686, ""en"", ""fr"")"),"Collaboratif")</f>
        <v>Collaboratif</v>
      </c>
      <c r="H686" s="1" t="s">
        <v>4964</v>
      </c>
    </row>
    <row r="687" spans="1:142" ht="14.25" customHeight="1" x14ac:dyDescent="0.3">
      <c r="A687" s="1" t="s">
        <v>829</v>
      </c>
      <c r="B687" s="1" t="str">
        <f ca="1">IFERROR(__xludf.DUMMYFUNCTION("GOOGLETRANSLATE(A687, ""en"", ""fr"")"),"COLLABORATEUR")</f>
        <v>COLLABORATEUR</v>
      </c>
      <c r="H687" s="1" t="s">
        <v>4964</v>
      </c>
    </row>
    <row r="688" spans="1:142" ht="14.25" customHeight="1" x14ac:dyDescent="0.3">
      <c r="A688" s="1" t="s">
        <v>830</v>
      </c>
      <c r="B688" s="1" t="str">
        <f ca="1">IFERROR(__xludf.DUMMYFUNCTION("GOOGLETRANSLATE(A688, ""en"", ""fr"")"),"Collaborateurs")</f>
        <v>Collaborateurs</v>
      </c>
      <c r="H688" s="1" t="s">
        <v>4964</v>
      </c>
    </row>
    <row r="689" spans="1:13" ht="14.25" customHeight="1" x14ac:dyDescent="0.3">
      <c r="A689" s="1" t="s">
        <v>831</v>
      </c>
      <c r="B689" s="1" t="str">
        <f ca="1">IFERROR(__xludf.DUMMYFUNCTION("GOOGLETRANSLATE(A689, ""en"", ""fr"")"),"effondrement")</f>
        <v>effondrement</v>
      </c>
      <c r="D689" s="1" t="s">
        <v>4963</v>
      </c>
      <c r="M689" s="1" t="s">
        <v>10</v>
      </c>
    </row>
    <row r="690" spans="1:13" ht="14.25" customHeight="1" x14ac:dyDescent="0.3">
      <c r="A690" s="1" t="s">
        <v>832</v>
      </c>
      <c r="B690" s="1" t="str">
        <f ca="1">IFERROR(__xludf.DUMMYFUNCTION("GOOGLETRANSLATE(A690, ""en"", ""fr"")"),"S'EST EFFONDRÉ")</f>
        <v>S'EST EFFONDRÉ</v>
      </c>
      <c r="D690" s="1" t="s">
        <v>4963</v>
      </c>
    </row>
    <row r="691" spans="1:13" ht="14.25" customHeight="1" x14ac:dyDescent="0.3">
      <c r="A691" s="1" t="s">
        <v>833</v>
      </c>
      <c r="B691" s="1" t="str">
        <f ca="1">IFERROR(__xludf.DUMMYFUNCTION("GOOGLETRANSLATE(A691, ""en"", ""fr"")"),"Effondrement")</f>
        <v>Effondrement</v>
      </c>
      <c r="D691" s="1" t="s">
        <v>4963</v>
      </c>
    </row>
    <row r="692" spans="1:13" ht="14.25" customHeight="1" x14ac:dyDescent="0.3">
      <c r="A692" s="1" t="s">
        <v>834</v>
      </c>
      <c r="B692" s="1" t="str">
        <f ca="1">IFERROR(__xludf.DUMMYFUNCTION("GOOGLETRANSLATE(A692, ""en"", ""fr"")"),"Effondrement")</f>
        <v>Effondrement</v>
      </c>
      <c r="D692" s="1" t="s">
        <v>4963</v>
      </c>
    </row>
    <row r="693" spans="1:13" ht="14.25" customHeight="1" x14ac:dyDescent="0.3">
      <c r="A693" s="1" t="s">
        <v>835</v>
      </c>
      <c r="B693" s="1" t="str">
        <f ca="1">IFERROR(__xludf.DUMMYFUNCTION("GOOGLETRANSLATE(A693, ""en"", ""fr"")"),"COLLISION")</f>
        <v>COLLISION</v>
      </c>
      <c r="D693" s="1" t="s">
        <v>4963</v>
      </c>
    </row>
    <row r="694" spans="1:13" ht="14.25" customHeight="1" x14ac:dyDescent="0.3">
      <c r="A694" s="1" t="s">
        <v>836</v>
      </c>
      <c r="B694" s="1" t="str">
        <f ca="1">IFERROR(__xludf.DUMMYFUNCTION("GOOGLETRANSLATE(A694, ""en"", ""fr"")"),"Collisions")</f>
        <v>Collisions</v>
      </c>
      <c r="D694" s="1" t="s">
        <v>4963</v>
      </c>
    </row>
    <row r="695" spans="1:13" ht="14.25" customHeight="1" x14ac:dyDescent="0.3">
      <c r="A695" s="1" t="s">
        <v>837</v>
      </c>
      <c r="B695" s="1" t="str">
        <f ca="1">IFERROR(__xludf.DUMMYFUNCTION("GOOGLETRANSLATE(A695, ""en"", ""fr"")"),"COMPLOTER")</f>
        <v>COMPLOTER</v>
      </c>
      <c r="D695" s="1" t="s">
        <v>4963</v>
      </c>
    </row>
    <row r="696" spans="1:13" ht="14.25" customHeight="1" x14ac:dyDescent="0.3">
      <c r="A696" s="1" t="s">
        <v>838</v>
      </c>
      <c r="B696" s="1" t="str">
        <f ca="1">IFERROR(__xludf.DUMMYFUNCTION("GOOGLETRANSLATE(A696, ""en"", ""fr"")"),"Collué")</f>
        <v>Collué</v>
      </c>
      <c r="D696" s="1" t="s">
        <v>4963</v>
      </c>
    </row>
    <row r="697" spans="1:13" ht="14.25" customHeight="1" x14ac:dyDescent="0.3">
      <c r="A697" s="1" t="s">
        <v>839</v>
      </c>
      <c r="B697" s="1" t="str">
        <f ca="1">IFERROR(__xludf.DUMMYFUNCTION("GOOGLETRANSLATE(A697, ""en"", ""fr"")"),"Se terminer")</f>
        <v>Se terminer</v>
      </c>
      <c r="D697" s="1" t="s">
        <v>4963</v>
      </c>
    </row>
    <row r="698" spans="1:13" ht="14.25" customHeight="1" x14ac:dyDescent="0.3">
      <c r="A698" s="1" t="s">
        <v>840</v>
      </c>
      <c r="B698" s="1" t="str">
        <f ca="1">IFERROR(__xludf.DUMMYFUNCTION("GOOGLETRANSLATE(A698, ""en"", ""fr"")"),"Collusion")</f>
        <v>Collusion</v>
      </c>
      <c r="D698" s="1" t="s">
        <v>4963</v>
      </c>
    </row>
    <row r="699" spans="1:13" ht="14.25" customHeight="1" x14ac:dyDescent="0.3">
      <c r="A699" s="1" t="s">
        <v>841</v>
      </c>
      <c r="B699" s="1" t="str">
        <f ca="1">IFERROR(__xludf.DUMMYFUNCTION("GOOGLETRANSLATE(A699, ""en"", ""fr"")"),"CONNIVENCE")</f>
        <v>CONNIVENCE</v>
      </c>
      <c r="D699" s="1" t="s">
        <v>4963</v>
      </c>
    </row>
    <row r="700" spans="1:13" ht="14.25" customHeight="1" x14ac:dyDescent="0.3">
      <c r="A700" s="1" t="s">
        <v>842</v>
      </c>
      <c r="B700" s="1" t="str">
        <f ca="1">IFERROR(__xludf.DUMMYFUNCTION("GOOGLETRANSLATE(A700, ""en"", ""fr"")"),"Collusions")</f>
        <v>Collusions</v>
      </c>
      <c r="D700" s="1" t="s">
        <v>4963</v>
      </c>
    </row>
    <row r="701" spans="1:13" ht="14.25" customHeight="1" x14ac:dyDescent="0.3">
      <c r="A701" s="1" t="s">
        <v>843</v>
      </c>
      <c r="B701" s="1" t="str">
        <f ca="1">IFERROR(__xludf.DUMMYFUNCTION("GOOGLETRANSLATE(A701, ""en"", ""fr"")"),"Collusoire")</f>
        <v>Collusoire</v>
      </c>
      <c r="D701" s="1" t="s">
        <v>4963</v>
      </c>
    </row>
    <row r="702" spans="1:13" ht="14.25" customHeight="1" x14ac:dyDescent="0.3">
      <c r="A702" s="1" t="s">
        <v>844</v>
      </c>
      <c r="B702" s="1" t="str">
        <f ca="1">IFERROR(__xludf.DUMMYFUNCTION("GOOGLETRANSLATE(A702, ""en"", ""fr"")"),"Économie de commandement")</f>
        <v>Économie de commandement</v>
      </c>
      <c r="M702" s="1" t="s">
        <v>10</v>
      </c>
    </row>
    <row r="703" spans="1:13" ht="14.25" customHeight="1" x14ac:dyDescent="0.3">
      <c r="A703" s="1" t="s">
        <v>845</v>
      </c>
      <c r="B703" s="1" t="str">
        <f ca="1">IFERROR(__xludf.DUMMYFUNCTION("GOOGLETRANSLATE(A703, ""en"", ""fr"")"),"centre de financement du papier commercial")</f>
        <v>centre de financement du papier commercial</v>
      </c>
      <c r="M703" s="1" t="s">
        <v>10</v>
      </c>
    </row>
    <row r="704" spans="1:13" ht="14.25" customHeight="1" x14ac:dyDescent="0.3">
      <c r="A704" s="1" t="s">
        <v>846</v>
      </c>
      <c r="B704" s="1" t="str">
        <f ca="1">IFERROR(__xludf.DUMMYFUNCTION("GOOGLETRANSLATE(A704, ""en"", ""fr"")"),"puits commerciaux")</f>
        <v>puits commerciaux</v>
      </c>
      <c r="M704" s="1" t="s">
        <v>10</v>
      </c>
    </row>
    <row r="705" spans="1:96" ht="14.25" customHeight="1" x14ac:dyDescent="0.3">
      <c r="A705" s="1" t="s">
        <v>847</v>
      </c>
      <c r="B705" s="1" t="str">
        <f ca="1">IFERROR(__xludf.DUMMYFUNCTION("GOOGLETRANSLATE(A705, ""en"", ""fr"")"),"Marchandage")</f>
        <v>Marchandage</v>
      </c>
      <c r="E705" s="1" t="s">
        <v>3</v>
      </c>
    </row>
    <row r="706" spans="1:96" ht="14.25" customHeight="1" x14ac:dyDescent="0.3">
      <c r="A706" s="1" t="s">
        <v>848</v>
      </c>
      <c r="B706" s="1" t="str">
        <f ca="1">IFERROR(__xludf.DUMMYFUNCTION("GOOGLETRANSLATE(A706, ""en"", ""fr"")"),"commission")</f>
        <v>commission</v>
      </c>
      <c r="CR706" s="1" t="s">
        <v>93</v>
      </c>
    </row>
    <row r="707" spans="1:96" ht="14.25" customHeight="1" x14ac:dyDescent="0.3">
      <c r="A707" s="1" t="s">
        <v>849</v>
      </c>
      <c r="B707" s="1" t="str">
        <f ca="1">IFERROR(__xludf.DUMMYFUNCTION("GOOGLETRANSLATE(A707, ""en"", ""fr"")"),"Loi sur l'échange de produits")</f>
        <v>Loi sur l'échange de produits</v>
      </c>
      <c r="G707" s="1" t="s">
        <v>5</v>
      </c>
    </row>
    <row r="708" spans="1:96" ht="14.25" customHeight="1" x14ac:dyDescent="0.3">
      <c r="A708" s="1" t="s">
        <v>850</v>
      </c>
      <c r="B708" s="1" t="str">
        <f ca="1">IFERROR(__xludf.DUMMYFUNCTION("GOOGLETRANSLATE(A708, ""en"", ""fr"")"),"avenir de marchandise")</f>
        <v>avenir de marchandise</v>
      </c>
      <c r="G708" s="1" t="s">
        <v>5</v>
      </c>
      <c r="CR708" s="1" t="s">
        <v>93</v>
      </c>
    </row>
    <row r="709" spans="1:96" ht="14.25" customHeight="1" x14ac:dyDescent="0.3">
      <c r="A709" s="1" t="s">
        <v>851</v>
      </c>
      <c r="B709" s="1" t="str">
        <f ca="1">IFERROR(__xludf.DUMMYFUNCTION("GOOGLETRANSLATE(A709, ""en"", ""fr"")"),"Loi sur la modernisation des futures de marchandises de 2000")</f>
        <v>Loi sur la modernisation des futures de marchandises de 2000</v>
      </c>
      <c r="G709" s="1" t="s">
        <v>5</v>
      </c>
      <c r="M709" s="1" t="s">
        <v>10</v>
      </c>
    </row>
    <row r="710" spans="1:96" ht="14.25" customHeight="1" x14ac:dyDescent="0.3">
      <c r="A710" s="1" t="s">
        <v>852</v>
      </c>
      <c r="B710" s="1" t="str">
        <f ca="1">IFERROR(__xludf.DUMMYFUNCTION("GOOGLETRANSLATE(A710, ""en"", ""fr"")"),"Commodity Futures Trading Commission")</f>
        <v>Commodity Futures Trading Commission</v>
      </c>
      <c r="G710" s="1" t="s">
        <v>5</v>
      </c>
    </row>
    <row r="711" spans="1:96" ht="14.25" customHeight="1" x14ac:dyDescent="0.3">
      <c r="A711" s="1" t="s">
        <v>853</v>
      </c>
      <c r="B711" s="1" t="str">
        <f ca="1">IFERROR(__xludf.DUMMYFUNCTION("GOOGLETRANSLATE(A711, ""en"", ""fr"")"),"opérateur de piscine de matières premières")</f>
        <v>opérateur de piscine de matières premières</v>
      </c>
      <c r="G711" s="1" t="s">
        <v>5</v>
      </c>
    </row>
    <row r="712" spans="1:96" ht="14.25" customHeight="1" x14ac:dyDescent="0.3">
      <c r="A712" s="1" t="s">
        <v>854</v>
      </c>
      <c r="B712" s="1" t="str">
        <f ca="1">IFERROR(__xludf.DUMMYFUNCTION("GOOGLETRANSLATE(A712, ""en"", ""fr"")"),"échange de marchandises")</f>
        <v>échange de marchandises</v>
      </c>
      <c r="G712" s="1" t="s">
        <v>5</v>
      </c>
      <c r="Q712" s="1" t="s">
        <v>14</v>
      </c>
    </row>
    <row r="713" spans="1:96" ht="14.25" customHeight="1" x14ac:dyDescent="0.3">
      <c r="A713" s="1" t="s">
        <v>855</v>
      </c>
      <c r="B713" s="1" t="str">
        <f ca="1">IFERROR(__xludf.DUMMYFUNCTION("GOOGLETRANSLATE(A713, ""en"", ""fr"")"),"trading des produits")</f>
        <v>trading des produits</v>
      </c>
      <c r="G713" s="1" t="s">
        <v>5</v>
      </c>
    </row>
    <row r="714" spans="1:96" ht="14.25" customHeight="1" x14ac:dyDescent="0.3">
      <c r="A714" s="1" t="s">
        <v>856</v>
      </c>
      <c r="B714" s="1" t="str">
        <f ca="1">IFERROR(__xludf.DUMMYFUNCTION("GOOGLETRANSLATE(A714, ""en"", ""fr"")"),"conseiller commercial des matières premières")</f>
        <v>conseiller commercial des matières premières</v>
      </c>
      <c r="G714" s="1" t="s">
        <v>5</v>
      </c>
    </row>
    <row r="715" spans="1:96" ht="14.25" customHeight="1" x14ac:dyDescent="0.3">
      <c r="A715" s="1" t="s">
        <v>857</v>
      </c>
      <c r="B715" s="1" t="str">
        <f ca="1">IFERROR(__xludf.DUMMYFUNCTION("GOOGLETRANSLATE(A715, ""en"", ""fr"")"),"marché commun")</f>
        <v>marché commun</v>
      </c>
      <c r="M715" s="1" t="s">
        <v>10</v>
      </c>
    </row>
    <row r="716" spans="1:96" ht="14.25" customHeight="1" x14ac:dyDescent="0.3">
      <c r="A716" s="1" t="s">
        <v>858</v>
      </c>
      <c r="B716" s="1" t="str">
        <f ca="1">IFERROR(__xludf.DUMMYFUNCTION("GOOGLETRANSLATE(A716, ""en"", ""fr"")"),"équivalents en actions ordinaires")</f>
        <v>équivalents en actions ordinaires</v>
      </c>
      <c r="CR716" s="1" t="s">
        <v>93</v>
      </c>
    </row>
    <row r="717" spans="1:96" ht="14.25" customHeight="1" x14ac:dyDescent="0.3">
      <c r="A717" s="1" t="s">
        <v>859</v>
      </c>
      <c r="B717" s="1" t="str">
        <f ca="1">IFERROR(__xludf.DUMMYFUNCTION("GOOGLETRANSLATE(A717, ""en"", ""fr"")"),"de grande taille")</f>
        <v>de grande taille</v>
      </c>
      <c r="CR717" s="1" t="s">
        <v>93</v>
      </c>
    </row>
    <row r="718" spans="1:96" ht="14.25" customHeight="1" x14ac:dyDescent="0.3">
      <c r="A718" s="1" t="s">
        <v>860</v>
      </c>
      <c r="B718" s="1" t="str">
        <f ca="1">IFERROR(__xludf.DUMMYFUNCTION("GOOGLETRANSLATE(A718, ""en"", ""fr"")"),"Société de développement communautaire")</f>
        <v>Société de développement communautaire</v>
      </c>
      <c r="M718" s="1" t="s">
        <v>10</v>
      </c>
    </row>
    <row r="719" spans="1:96" ht="14.25" customHeight="1" x14ac:dyDescent="0.3">
      <c r="A719" s="1" t="s">
        <v>861</v>
      </c>
      <c r="B719" s="1" t="str">
        <f ca="1">IFERROR(__xludf.DUMMYFUNCTION("GOOGLETRANSLATE(A719, ""en"", ""fr"")"),"Loi sur le réinvestissement communautaire de 1977")</f>
        <v>Loi sur le réinvestissement communautaire de 1977</v>
      </c>
      <c r="M719" s="1" t="s">
        <v>10</v>
      </c>
    </row>
    <row r="720" spans="1:96" ht="14.25" customHeight="1" x14ac:dyDescent="0.3">
      <c r="A720" s="1" t="s">
        <v>862</v>
      </c>
      <c r="B720" s="1" t="str">
        <f ca="1">IFERROR(__xludf.DUMMYFUNCTION("GOOGLETRANSLATE(A720, ""en"", ""fr"")"),"entreprises")</f>
        <v>entreprises</v>
      </c>
      <c r="CR720" s="1" t="s">
        <v>93</v>
      </c>
    </row>
    <row r="721" spans="1:96" ht="14.25" customHeight="1" x14ac:dyDescent="0.3">
      <c r="A721" s="1" t="s">
        <v>863</v>
      </c>
      <c r="B721" s="1" t="str">
        <f ca="1">IFERROR(__xludf.DUMMYFUNCTION("GOOGLETRANSLATE(A721, ""en"", ""fr"")"),"entreprise")</f>
        <v>entreprise</v>
      </c>
      <c r="CR721" s="1" t="s">
        <v>93</v>
      </c>
    </row>
    <row r="722" spans="1:96" ht="14.25" customHeight="1" x14ac:dyDescent="0.3">
      <c r="A722" s="1" t="s">
        <v>864</v>
      </c>
      <c r="B722" s="1" t="str">
        <f ca="1">IFERROR(__xludf.DUMMYFUNCTION("GOOGLETRANSLATE(A722, ""en"", ""fr"")"),"avantage comparatif")</f>
        <v>avantage comparatif</v>
      </c>
      <c r="M722" s="1" t="s">
        <v>10</v>
      </c>
    </row>
    <row r="723" spans="1:96" ht="14.25" customHeight="1" x14ac:dyDescent="0.3">
      <c r="A723" s="1" t="s">
        <v>865</v>
      </c>
      <c r="B723" s="1" t="str">
        <f ca="1">IFERROR(__xludf.DUMMYFUNCTION("GOOGLETRANSLATE(A723, ""en"", ""fr"")"),"Compensateur")</f>
        <v>Compensateur</v>
      </c>
      <c r="AY723" s="1" t="s">
        <v>48</v>
      </c>
    </row>
    <row r="724" spans="1:96" ht="14.25" customHeight="1" x14ac:dyDescent="0.3">
      <c r="A724" s="1" t="s">
        <v>866</v>
      </c>
      <c r="B724" s="1" t="str">
        <f ca="1">IFERROR(__xludf.DUMMYFUNCTION("GOOGLETRANSLATE(A724, ""en"", ""fr"")"),"concours")</f>
        <v>concours</v>
      </c>
      <c r="M724" s="1" t="s">
        <v>10</v>
      </c>
    </row>
    <row r="725" spans="1:96" ht="14.25" customHeight="1" x14ac:dyDescent="0.3">
      <c r="A725" s="1" t="s">
        <v>867</v>
      </c>
      <c r="B725" s="1" t="str">
        <f ca="1">IFERROR(__xludf.DUMMYFUNCTION("GOOGLETRANSLATE(A725, ""en"", ""fr"")"),"concurrent")</f>
        <v>concurrent</v>
      </c>
      <c r="M725" s="1" t="s">
        <v>10</v>
      </c>
    </row>
    <row r="726" spans="1:96" ht="14.25" customHeight="1" x14ac:dyDescent="0.3">
      <c r="A726" s="1" t="s">
        <v>868</v>
      </c>
      <c r="B726" s="1" t="str">
        <f ca="1">IFERROR(__xludf.DUMMYFUNCTION("GOOGLETRANSLATE(A726, ""en"", ""fr"")"),"SE PLAINDRE")</f>
        <v>SE PLAINDRE</v>
      </c>
      <c r="D726" s="1" t="s">
        <v>4963</v>
      </c>
    </row>
    <row r="727" spans="1:96" ht="14.25" customHeight="1" x14ac:dyDescent="0.3">
      <c r="A727" s="1" t="s">
        <v>869</v>
      </c>
      <c r="B727" s="1" t="str">
        <f ca="1">IFERROR(__xludf.DUMMYFUNCTION("GOOGLETRANSLATE(A727, ""en"", ""fr"")"),"Se plaindre")</f>
        <v>Se plaindre</v>
      </c>
      <c r="D727" s="1" t="s">
        <v>4963</v>
      </c>
    </row>
    <row r="728" spans="1:96" ht="14.25" customHeight="1" x14ac:dyDescent="0.3">
      <c r="A728" s="1" t="s">
        <v>870</v>
      </c>
      <c r="B728" s="1" t="str">
        <f ca="1">IFERROR(__xludf.DUMMYFUNCTION("GOOGLETRANSLATE(A728, ""en"", ""fr"")"),"Se plaindre")</f>
        <v>Se plaindre</v>
      </c>
      <c r="D728" s="1" t="s">
        <v>4963</v>
      </c>
    </row>
    <row r="729" spans="1:96" ht="14.25" customHeight="1" x14ac:dyDescent="0.3">
      <c r="A729" s="1" t="s">
        <v>871</v>
      </c>
      <c r="B729" s="1" t="str">
        <f ca="1">IFERROR(__xludf.DUMMYFUNCTION("GOOGLETRANSLATE(A729, ""en"", ""fr"")"),"SE PLAINT")</f>
        <v>SE PLAINT</v>
      </c>
      <c r="D729" s="1" t="s">
        <v>4963</v>
      </c>
    </row>
    <row r="730" spans="1:96" ht="14.25" customHeight="1" x14ac:dyDescent="0.3">
      <c r="A730" s="1" t="s">
        <v>872</v>
      </c>
      <c r="B730" s="1" t="str">
        <f ca="1">IFERROR(__xludf.DUMMYFUNCTION("GOOGLETRANSLATE(A730, ""en"", ""fr"")"),"PLAINTE")</f>
        <v>PLAINTE</v>
      </c>
      <c r="D730" s="1" t="s">
        <v>4963</v>
      </c>
    </row>
    <row r="731" spans="1:96" ht="14.25" customHeight="1" x14ac:dyDescent="0.3">
      <c r="A731" s="1" t="s">
        <v>873</v>
      </c>
      <c r="B731" s="1" t="str">
        <f ca="1">IFERROR(__xludf.DUMMYFUNCTION("GOOGLETRANSLATE(A731, ""en"", ""fr"")"),"Plaintes")</f>
        <v>Plaintes</v>
      </c>
      <c r="D731" s="1" t="s">
        <v>4963</v>
      </c>
    </row>
    <row r="732" spans="1:96" ht="14.25" customHeight="1" x14ac:dyDescent="0.3">
      <c r="A732" s="1" t="s">
        <v>874</v>
      </c>
      <c r="B732" s="1" t="str">
        <f ca="1">IFERROR(__xludf.DUMMYFUNCTION("GOOGLETRANSLATE(A732, ""en"", ""fr"")"),"COMPLIQUER")</f>
        <v>COMPLIQUER</v>
      </c>
      <c r="D732" s="1" t="s">
        <v>4963</v>
      </c>
    </row>
    <row r="733" spans="1:96" ht="14.25" customHeight="1" x14ac:dyDescent="0.3">
      <c r="A733" s="1" t="s">
        <v>875</v>
      </c>
      <c r="B733" s="1" t="str">
        <f ca="1">IFERROR(__xludf.DUMMYFUNCTION("GOOGLETRANSLATE(A733, ""en"", ""fr"")"),"COMPLIQUÉ")</f>
        <v>COMPLIQUÉ</v>
      </c>
      <c r="D733" s="1" t="s">
        <v>4963</v>
      </c>
    </row>
    <row r="734" spans="1:96" ht="14.25" customHeight="1" x14ac:dyDescent="0.3">
      <c r="A734" s="1" t="s">
        <v>876</v>
      </c>
      <c r="B734" s="1" t="str">
        <f ca="1">IFERROR(__xludf.DUMMYFUNCTION("GOOGLETRANSLATE(A734, ""en"", ""fr"")"),"Compliquer")</f>
        <v>Compliquer</v>
      </c>
      <c r="D734" s="1" t="s">
        <v>4963</v>
      </c>
    </row>
    <row r="735" spans="1:96" ht="14.25" customHeight="1" x14ac:dyDescent="0.3">
      <c r="A735" s="1" t="s">
        <v>877</v>
      </c>
      <c r="B735" s="1" t="str">
        <f ca="1">IFERROR(__xludf.DUMMYFUNCTION("GOOGLETRANSLATE(A735, ""en"", ""fr"")"),"Compliquant")</f>
        <v>Compliquant</v>
      </c>
      <c r="D735" s="1" t="s">
        <v>4963</v>
      </c>
    </row>
    <row r="736" spans="1:96" ht="14.25" customHeight="1" x14ac:dyDescent="0.3">
      <c r="A736" s="1" t="s">
        <v>878</v>
      </c>
      <c r="B736" s="1" t="str">
        <f ca="1">IFERROR(__xludf.DUMMYFUNCTION("GOOGLETRANSLATE(A736, ""en"", ""fr"")"),"COMPLICATION")</f>
        <v>COMPLICATION</v>
      </c>
      <c r="D736" s="1" t="s">
        <v>4963</v>
      </c>
    </row>
    <row r="737" spans="1:142" ht="14.25" customHeight="1" x14ac:dyDescent="0.3">
      <c r="A737" s="1" t="s">
        <v>879</v>
      </c>
      <c r="B737" s="1" t="str">
        <f ca="1">IFERROR(__xludf.DUMMYFUNCTION("GOOGLETRANSLATE(A737, ""en"", ""fr"")"),"COMPLICATIONS")</f>
        <v>COMPLICATIONS</v>
      </c>
      <c r="D737" s="1" t="s">
        <v>4963</v>
      </c>
    </row>
    <row r="738" spans="1:142" ht="14.25" customHeight="1" x14ac:dyDescent="0.3">
      <c r="A738" s="1" t="s">
        <v>880</v>
      </c>
      <c r="B738" s="1" t="str">
        <f ca="1">IFERROR(__xludf.DUMMYFUNCTION("GOOGLETRANSLATE(A738, ""en"", ""fr"")"),"COMPLIMENT")</f>
        <v>COMPLIMENT</v>
      </c>
      <c r="H738" s="1" t="s">
        <v>4964</v>
      </c>
    </row>
    <row r="739" spans="1:142" ht="14.25" customHeight="1" x14ac:dyDescent="0.3">
      <c r="A739" s="1" t="s">
        <v>881</v>
      </c>
      <c r="B739" s="1" t="str">
        <f ca="1">IFERROR(__xludf.DUMMYFUNCTION("GOOGLETRANSLATE(A739, ""en"", ""fr"")"),"Complémentaire")</f>
        <v>Complémentaire</v>
      </c>
      <c r="H739" s="1" t="s">
        <v>4964</v>
      </c>
    </row>
    <row r="740" spans="1:142" ht="14.25" customHeight="1" x14ac:dyDescent="0.3">
      <c r="A740" s="1" t="s">
        <v>882</v>
      </c>
      <c r="B740" s="1" t="str">
        <f ca="1">IFERROR(__xludf.DUMMYFUNCTION("GOOGLETRANSLATE(A740, ""en"", ""fr"")"),"Complimenté")</f>
        <v>Complimenté</v>
      </c>
      <c r="H740" s="1" t="s">
        <v>4964</v>
      </c>
    </row>
    <row r="741" spans="1:142" ht="14.25" customHeight="1" x14ac:dyDescent="0.3">
      <c r="A741" s="1" t="s">
        <v>883</v>
      </c>
      <c r="B741" s="1" t="str">
        <f ca="1">IFERROR(__xludf.DUMMYFUNCTION("GOOGLETRANSLATE(A741, ""en"", ""fr"")"),"Complimentation")</f>
        <v>Complimentation</v>
      </c>
      <c r="H741" s="1" t="s">
        <v>4964</v>
      </c>
    </row>
    <row r="742" spans="1:142" ht="14.25" customHeight="1" x14ac:dyDescent="0.3">
      <c r="A742" s="1" t="s">
        <v>884</v>
      </c>
      <c r="B742" s="1" t="str">
        <f ca="1">IFERROR(__xludf.DUMMYFUNCTION("GOOGLETRANSLATE(A742, ""en"", ""fr"")"),"Compliments")</f>
        <v>Compliments</v>
      </c>
      <c r="H742" s="1" t="s">
        <v>4964</v>
      </c>
    </row>
    <row r="743" spans="1:142" ht="14.25" customHeight="1" x14ac:dyDescent="0.3">
      <c r="A743" s="1" t="s">
        <v>885</v>
      </c>
      <c r="B743" s="1" t="str">
        <f ca="1">IFERROR(__xludf.DUMMYFUNCTION("GOOGLETRANSLATE(A743, ""en"", ""fr"")"),"Gaz naturel compressé")</f>
        <v>Gaz naturel compressé</v>
      </c>
      <c r="EL743" s="1" t="s">
        <v>139</v>
      </c>
    </row>
    <row r="744" spans="1:142" ht="14.25" customHeight="1" x14ac:dyDescent="0.3">
      <c r="A744" s="1" t="s">
        <v>886</v>
      </c>
      <c r="B744" s="1" t="str">
        <f ca="1">IFERROR(__xludf.DUMMYFUNCTION("GOOGLETRANSLATE(A744, ""en"", ""fr"")"),"COMPULSION")</f>
        <v>COMPULSION</v>
      </c>
      <c r="D744" s="1" t="s">
        <v>4963</v>
      </c>
    </row>
    <row r="745" spans="1:142" ht="14.25" customHeight="1" x14ac:dyDescent="0.3">
      <c r="A745" s="1" t="s">
        <v>887</v>
      </c>
      <c r="B745" s="1" t="str">
        <f ca="1">IFERROR(__xludf.DUMMYFUNCTION("GOOGLETRANSLATE(A745, ""en"", ""fr"")"),"CACHÉ")</f>
        <v>CACHÉ</v>
      </c>
      <c r="D745" s="1" t="s">
        <v>4963</v>
      </c>
    </row>
    <row r="746" spans="1:142" ht="14.25" customHeight="1" x14ac:dyDescent="0.3">
      <c r="A746" s="1" t="s">
        <v>888</v>
      </c>
      <c r="B746" s="1" t="str">
        <f ca="1">IFERROR(__xludf.DUMMYFUNCTION("GOOGLETRANSLATE(A746, ""en"", ""fr"")"),"OCCULTATION")</f>
        <v>OCCULTATION</v>
      </c>
      <c r="D746" s="1" t="s">
        <v>4963</v>
      </c>
    </row>
    <row r="747" spans="1:142" ht="14.25" customHeight="1" x14ac:dyDescent="0.3">
      <c r="A747" s="1" t="s">
        <v>889</v>
      </c>
      <c r="B747" s="1" t="str">
        <f ca="1">IFERROR(__xludf.DUMMYFUNCTION("GOOGLETRANSLATE(A747, ""en"", ""fr"")"),"CONCÉDER")</f>
        <v>CONCÉDER</v>
      </c>
      <c r="D747" s="1" t="s">
        <v>4963</v>
      </c>
    </row>
    <row r="748" spans="1:142" ht="14.25" customHeight="1" x14ac:dyDescent="0.3">
      <c r="A748" s="1" t="s">
        <v>890</v>
      </c>
      <c r="B748" s="1" t="str">
        <f ca="1">IFERROR(__xludf.DUMMYFUNCTION("GOOGLETRANSLATE(A748, ""en"", ""fr"")"),"Concédé")</f>
        <v>Concédé</v>
      </c>
      <c r="D748" s="1" t="s">
        <v>4963</v>
      </c>
    </row>
    <row r="749" spans="1:142" ht="14.25" customHeight="1" x14ac:dyDescent="0.3">
      <c r="A749" s="1" t="s">
        <v>891</v>
      </c>
      <c r="B749" s="1" t="str">
        <f ca="1">IFERROR(__xludf.DUMMYFUNCTION("GOOGLETRANSLATE(A749, ""en"", ""fr"")"),"Concède")</f>
        <v>Concède</v>
      </c>
      <c r="D749" s="1" t="s">
        <v>4963</v>
      </c>
    </row>
    <row r="750" spans="1:142" ht="14.25" customHeight="1" x14ac:dyDescent="0.3">
      <c r="A750" s="1" t="s">
        <v>892</v>
      </c>
      <c r="B750" s="1" t="str">
        <f ca="1">IFERROR(__xludf.DUMMYFUNCTION("GOOGLETRANSLATE(A750, ""en"", ""fr"")"),"Concédation")</f>
        <v>Concédation</v>
      </c>
      <c r="D750" s="1" t="s">
        <v>4963</v>
      </c>
    </row>
    <row r="751" spans="1:142" ht="14.25" customHeight="1" x14ac:dyDescent="0.3">
      <c r="A751" s="1" t="s">
        <v>893</v>
      </c>
      <c r="B751" s="1" t="str">
        <f ca="1">IFERROR(__xludf.DUMMYFUNCTION("GOOGLETRANSLATE(A751, ""en"", ""fr"")"),"PRÉOCCUPATION")</f>
        <v>PRÉOCCUPATION</v>
      </c>
      <c r="D751" s="1" t="s">
        <v>4963</v>
      </c>
    </row>
    <row r="752" spans="1:142" ht="14.25" customHeight="1" x14ac:dyDescent="0.3">
      <c r="A752" s="1" t="s">
        <v>894</v>
      </c>
      <c r="B752" s="1" t="str">
        <f ca="1">IFERROR(__xludf.DUMMYFUNCTION("GOOGLETRANSLATE(A752, ""en"", ""fr"")"),"CONCERNÉ")</f>
        <v>CONCERNÉ</v>
      </c>
      <c r="D752" s="1" t="s">
        <v>4963</v>
      </c>
    </row>
    <row r="753" spans="1:142" ht="14.25" customHeight="1" x14ac:dyDescent="0.3">
      <c r="A753" s="1" t="s">
        <v>895</v>
      </c>
      <c r="B753" s="1" t="str">
        <f ca="1">IFERROR(__xludf.DUMMYFUNCTION("GOOGLETRANSLATE(A753, ""en"", ""fr"")"),"Préoccupations")</f>
        <v>Préoccupations</v>
      </c>
      <c r="D753" s="1" t="s">
        <v>4963</v>
      </c>
    </row>
    <row r="754" spans="1:142" ht="14.25" customHeight="1" x14ac:dyDescent="0.3">
      <c r="A754" s="1" t="s">
        <v>896</v>
      </c>
      <c r="B754" s="1" t="str">
        <f ca="1">IFERROR(__xludf.DUMMYFUNCTION("GOOGLETRANSLATE(A754, ""en"", ""fr"")"),"Conciliant")</f>
        <v>Conciliant</v>
      </c>
      <c r="D754" s="1" t="s">
        <v>4963</v>
      </c>
    </row>
    <row r="755" spans="1:142" ht="14.25" customHeight="1" x14ac:dyDescent="0.3">
      <c r="A755" s="1" t="s">
        <v>897</v>
      </c>
      <c r="B755" s="1" t="str">
        <f ca="1">IFERROR(__xludf.DUMMYFUNCTION("GOOGLETRANSLATE(A755, ""en"", ""fr"")"),"CONCILIATION")</f>
        <v>CONCILIATION</v>
      </c>
      <c r="D755" s="1" t="s">
        <v>4963</v>
      </c>
    </row>
    <row r="756" spans="1:142" ht="14.25" customHeight="1" x14ac:dyDescent="0.3">
      <c r="A756" s="1" t="s">
        <v>898</v>
      </c>
      <c r="B756" s="1" t="str">
        <f ca="1">IFERROR(__xludf.DUMMYFUNCTION("GOOGLETRANSLATE(A756, ""en"", ""fr"")"),"Conciliations")</f>
        <v>Conciliations</v>
      </c>
      <c r="D756" s="1" t="s">
        <v>4963</v>
      </c>
    </row>
    <row r="757" spans="1:142" ht="14.25" customHeight="1" x14ac:dyDescent="0.3">
      <c r="A757" s="1" t="s">
        <v>899</v>
      </c>
      <c r="B757" s="1" t="str">
        <f ca="1">IFERROR(__xludf.DUMMYFUNCTION("GOOGLETRANSLATE(A757, ""en"", ""fr"")"),"Concluant")</f>
        <v>Concluant</v>
      </c>
      <c r="H757" s="1" t="s">
        <v>4964</v>
      </c>
    </row>
    <row r="758" spans="1:142" ht="14.25" customHeight="1" x14ac:dyDescent="0.3">
      <c r="A758" s="1" t="s">
        <v>900</v>
      </c>
      <c r="B758" s="1" t="str">
        <f ca="1">IFERROR(__xludf.DUMMYFUNCTION("GOOGLETRANSLATE(A758, ""en"", ""fr"")"),"De manière concluante")</f>
        <v>De manière concluante</v>
      </c>
      <c r="H758" s="1" t="s">
        <v>4964</v>
      </c>
    </row>
    <row r="759" spans="1:142" ht="14.25" customHeight="1" x14ac:dyDescent="0.3">
      <c r="A759" s="1" t="s">
        <v>901</v>
      </c>
      <c r="B759" s="1" t="str">
        <f ca="1">IFERROR(__xludf.DUMMYFUNCTION("GOOGLETRANSLATE(A759, ""en"", ""fr"")"),"CONDAMNER")</f>
        <v>CONDAMNER</v>
      </c>
      <c r="D759" s="1" t="s">
        <v>4963</v>
      </c>
    </row>
    <row r="760" spans="1:142" ht="14.25" customHeight="1" x14ac:dyDescent="0.3">
      <c r="A760" s="1" t="s">
        <v>902</v>
      </c>
      <c r="B760" s="1" t="str">
        <f ca="1">IFERROR(__xludf.DUMMYFUNCTION("GOOGLETRANSLATE(A760, ""en"", ""fr"")"),"CONDAMNATION")</f>
        <v>CONDAMNATION</v>
      </c>
      <c r="D760" s="1" t="s">
        <v>4963</v>
      </c>
    </row>
    <row r="761" spans="1:142" ht="14.25" customHeight="1" x14ac:dyDescent="0.3">
      <c r="A761" s="1" t="s">
        <v>903</v>
      </c>
      <c r="B761" s="1" t="str">
        <f ca="1">IFERROR(__xludf.DUMMYFUNCTION("GOOGLETRANSLATE(A761, ""en"", ""fr"")"),"Condamnations")</f>
        <v>Condamnations</v>
      </c>
      <c r="D761" s="1" t="s">
        <v>4963</v>
      </c>
    </row>
    <row r="762" spans="1:142" ht="14.25" customHeight="1" x14ac:dyDescent="0.3">
      <c r="A762" s="1" t="s">
        <v>904</v>
      </c>
      <c r="B762" s="1" t="str">
        <f ca="1">IFERROR(__xludf.DUMMYFUNCTION("GOOGLETRANSLATE(A762, ""en"", ""fr"")"),"CONDAMNÉ")</f>
        <v>CONDAMNÉ</v>
      </c>
      <c r="D762" s="1" t="s">
        <v>4963</v>
      </c>
    </row>
    <row r="763" spans="1:142" ht="14.25" customHeight="1" x14ac:dyDescent="0.3">
      <c r="A763" s="1" t="s">
        <v>905</v>
      </c>
      <c r="B763" s="1" t="str">
        <f ca="1">IFERROR(__xludf.DUMMYFUNCTION("GOOGLETRANSLATE(A763, ""en"", ""fr"")"),"Condamner")</f>
        <v>Condamner</v>
      </c>
      <c r="D763" s="1" t="s">
        <v>4963</v>
      </c>
    </row>
    <row r="764" spans="1:142" ht="14.25" customHeight="1" x14ac:dyDescent="0.3">
      <c r="A764" s="1" t="s">
        <v>906</v>
      </c>
      <c r="B764" s="1" t="str">
        <f ca="1">IFERROR(__xludf.DUMMYFUNCTION("GOOGLETRANSLATE(A764, ""en"", ""fr"")"),"Condamner")</f>
        <v>Condamner</v>
      </c>
      <c r="D764" s="1" t="s">
        <v>4963</v>
      </c>
    </row>
    <row r="765" spans="1:142" ht="14.25" customHeight="1" x14ac:dyDescent="0.3">
      <c r="A765" s="1" t="s">
        <v>907</v>
      </c>
      <c r="B765" s="1" t="str">
        <f ca="1">IFERROR(__xludf.DUMMYFUNCTION("GOOGLETRANSLATE(A765, ""en"", ""fr"")"),"Condensat")</f>
        <v>Condensat</v>
      </c>
      <c r="EL765" s="1" t="s">
        <v>139</v>
      </c>
    </row>
    <row r="766" spans="1:142" ht="14.25" customHeight="1" x14ac:dyDescent="0.3">
      <c r="A766" s="1" t="s">
        <v>908</v>
      </c>
      <c r="B766" s="1" t="str">
        <f ca="1">IFERROR(__xludf.DUMMYFUNCTION("GOOGLETRANSLATE(A766, ""en"", ""fr"")"),"Champ de condensat")</f>
        <v>Champ de condensat</v>
      </c>
      <c r="E766" s="1" t="s">
        <v>3</v>
      </c>
    </row>
    <row r="767" spans="1:142" ht="14.25" customHeight="1" x14ac:dyDescent="0.3">
      <c r="A767" s="1" t="s">
        <v>909</v>
      </c>
      <c r="B767" s="1" t="str">
        <f ca="1">IFERROR(__xludf.DUMMYFUNCTION("GOOGLETRANSLATE(A767, ""en"", ""fr"")"),"FERMER LES YEUX SUR")</f>
        <v>FERMER LES YEUX SUR</v>
      </c>
      <c r="D767" s="1" t="s">
        <v>4963</v>
      </c>
    </row>
    <row r="768" spans="1:142" ht="14.25" customHeight="1" x14ac:dyDescent="0.3">
      <c r="A768" s="1" t="s">
        <v>910</v>
      </c>
      <c r="B768" s="1" t="str">
        <f ca="1">IFERROR(__xludf.DUMMYFUNCTION("GOOGLETRANSLATE(A768, ""en"", ""fr"")"),"Toléré")</f>
        <v>Toléré</v>
      </c>
      <c r="D768" s="1" t="s">
        <v>4963</v>
      </c>
    </row>
    <row r="769" spans="1:51" ht="14.25" customHeight="1" x14ac:dyDescent="0.3">
      <c r="A769" s="1" t="s">
        <v>911</v>
      </c>
      <c r="B769" s="1" t="str">
        <f ca="1">IFERROR(__xludf.DUMMYFUNCTION("GOOGLETRANSLATE(A769, ""en"", ""fr"")"),"Propice")</f>
        <v>Propice</v>
      </c>
      <c r="H769" s="1" t="s">
        <v>4964</v>
      </c>
    </row>
    <row r="770" spans="1:51" ht="14.25" customHeight="1" x14ac:dyDescent="0.3">
      <c r="A770" s="1" t="s">
        <v>912</v>
      </c>
      <c r="B770" s="1" t="str">
        <f ca="1">IFERROR(__xludf.DUMMYFUNCTION("GOOGLETRANSLATE(A770, ""en"", ""fr"")"),"Conducteur")</f>
        <v>Conducteur</v>
      </c>
      <c r="AY770" s="1" t="s">
        <v>48</v>
      </c>
    </row>
    <row r="771" spans="1:51" ht="14.25" customHeight="1" x14ac:dyDescent="0.3">
      <c r="A771" s="1" t="s">
        <v>913</v>
      </c>
      <c r="B771" s="1" t="str">
        <f ca="1">IFERROR(__xludf.DUMMYFUNCTION("GOOGLETRANSLATE(A771, ""en"", ""fr"")"),"Conference Board, le")</f>
        <v>Conference Board, le</v>
      </c>
      <c r="M771" s="1" t="s">
        <v>10</v>
      </c>
    </row>
    <row r="772" spans="1:51" ht="14.25" customHeight="1" x14ac:dyDescent="0.3">
      <c r="A772" s="1" t="s">
        <v>914</v>
      </c>
      <c r="B772" s="1" t="str">
        <f ca="1">IFERROR(__xludf.DUMMYFUNCTION("GOOGLETRANSLATE(A772, ""en"", ""fr"")"),"CONFESSER")</f>
        <v>CONFESSER</v>
      </c>
      <c r="D772" s="1" t="s">
        <v>4963</v>
      </c>
    </row>
    <row r="773" spans="1:51" ht="14.25" customHeight="1" x14ac:dyDescent="0.3">
      <c r="A773" s="1" t="s">
        <v>915</v>
      </c>
      <c r="B773" s="1" t="str">
        <f ca="1">IFERROR(__xludf.DUMMYFUNCTION("GOOGLETRANSLATE(A773, ""en"", ""fr"")"),"Avoué")</f>
        <v>Avoué</v>
      </c>
      <c r="D773" s="1" t="s">
        <v>4963</v>
      </c>
    </row>
    <row r="774" spans="1:51" ht="14.25" customHeight="1" x14ac:dyDescent="0.3">
      <c r="A774" s="1" t="s">
        <v>916</v>
      </c>
      <c r="B774" s="1" t="str">
        <f ca="1">IFERROR(__xludf.DUMMYFUNCTION("GOOGLETRANSLATE(A774, ""en"", ""fr"")"),"Avoue")</f>
        <v>Avoue</v>
      </c>
      <c r="D774" s="1" t="s">
        <v>4963</v>
      </c>
    </row>
    <row r="775" spans="1:51" ht="14.25" customHeight="1" x14ac:dyDescent="0.3">
      <c r="A775" s="1" t="s">
        <v>917</v>
      </c>
      <c r="B775" s="1" t="str">
        <f ca="1">IFERROR(__xludf.DUMMYFUNCTION("GOOGLETRANSLATE(A775, ""en"", ""fr"")"),"Avouant")</f>
        <v>Avouant</v>
      </c>
      <c r="D775" s="1" t="s">
        <v>4963</v>
      </c>
    </row>
    <row r="776" spans="1:51" ht="14.25" customHeight="1" x14ac:dyDescent="0.3">
      <c r="A776" s="1" t="s">
        <v>918</v>
      </c>
      <c r="B776" s="1" t="str">
        <f ca="1">IFERROR(__xludf.DUMMYFUNCTION("GOOGLETRANSLATE(A776, ""en"", ""fr"")"),"CONFESSION")</f>
        <v>CONFESSION</v>
      </c>
      <c r="D776" s="1" t="s">
        <v>4963</v>
      </c>
    </row>
    <row r="777" spans="1:51" ht="14.25" customHeight="1" x14ac:dyDescent="0.3">
      <c r="A777" s="1" t="s">
        <v>919</v>
      </c>
      <c r="B777" s="1" t="str">
        <f ca="1">IFERROR(__xludf.DUMMYFUNCTION("GOOGLETRANSLATE(A777, ""en"", ""fr"")"),"indicateur de confiance")</f>
        <v>indicateur de confiance</v>
      </c>
      <c r="M777" s="1" t="s">
        <v>10</v>
      </c>
    </row>
    <row r="778" spans="1:51" ht="14.25" customHeight="1" x14ac:dyDescent="0.3">
      <c r="A778" s="1" t="s">
        <v>920</v>
      </c>
      <c r="B778" s="1" t="str">
        <f ca="1">IFERROR(__xludf.DUMMYFUNCTION("GOOGLETRANSLATE(A778, ""en"", ""fr"")"),"CONFIANT")</f>
        <v>CONFIANT</v>
      </c>
      <c r="H778" s="1" t="s">
        <v>4964</v>
      </c>
    </row>
    <row r="779" spans="1:51" ht="14.25" customHeight="1" x14ac:dyDescent="0.3">
      <c r="A779" s="1" t="s">
        <v>921</v>
      </c>
      <c r="B779" s="1" t="str">
        <f ca="1">IFERROR(__xludf.DUMMYFUNCTION("GOOGLETRANSLATE(A779, ""en"", ""fr"")"),"CONFINER")</f>
        <v>CONFINER</v>
      </c>
      <c r="D779" s="1" t="s">
        <v>4963</v>
      </c>
    </row>
    <row r="780" spans="1:51" ht="14.25" customHeight="1" x14ac:dyDescent="0.3">
      <c r="A780" s="1" t="s">
        <v>922</v>
      </c>
      <c r="B780" s="1" t="str">
        <f ca="1">IFERROR(__xludf.DUMMYFUNCTION("GOOGLETRANSLATE(A780, ""en"", ""fr"")"),"CONFINÉ")</f>
        <v>CONFINÉ</v>
      </c>
      <c r="D780" s="1" t="s">
        <v>4963</v>
      </c>
    </row>
    <row r="781" spans="1:51" ht="14.25" customHeight="1" x14ac:dyDescent="0.3">
      <c r="A781" s="1" t="s">
        <v>923</v>
      </c>
      <c r="B781" s="1" t="str">
        <f ca="1">IFERROR(__xludf.DUMMYFUNCTION("GOOGLETRANSLATE(A781, ""en"", ""fr"")"),"CONFINEMENT")</f>
        <v>CONFINEMENT</v>
      </c>
      <c r="D781" s="1" t="s">
        <v>4963</v>
      </c>
    </row>
    <row r="782" spans="1:51" ht="14.25" customHeight="1" x14ac:dyDescent="0.3">
      <c r="A782" s="1" t="s">
        <v>924</v>
      </c>
      <c r="B782" s="1" t="str">
        <f ca="1">IFERROR(__xludf.DUMMYFUNCTION("GOOGLETRANSLATE(A782, ""en"", ""fr"")"),"Configuration")</f>
        <v>Configuration</v>
      </c>
      <c r="D782" s="1" t="s">
        <v>4963</v>
      </c>
    </row>
    <row r="783" spans="1:51" ht="14.25" customHeight="1" x14ac:dyDescent="0.3">
      <c r="A783" s="1" t="s">
        <v>925</v>
      </c>
      <c r="B783" s="1" t="str">
        <f ca="1">IFERROR(__xludf.DUMMYFUNCTION("GOOGLETRANSLATE(A783, ""en"", ""fr"")"),"LIMITES")</f>
        <v>LIMITES</v>
      </c>
      <c r="D783" s="1" t="s">
        <v>4963</v>
      </c>
    </row>
    <row r="784" spans="1:51" ht="14.25" customHeight="1" x14ac:dyDescent="0.3">
      <c r="A784" s="1" t="s">
        <v>926</v>
      </c>
      <c r="B784" s="1" t="str">
        <f ca="1">IFERROR(__xludf.DUMMYFUNCTION("GOOGLETRANSLATE(A784, ""en"", ""fr"")"),"Confination")</f>
        <v>Confination</v>
      </c>
      <c r="D784" s="1" t="s">
        <v>4963</v>
      </c>
    </row>
    <row r="785" spans="1:4" ht="14.25" customHeight="1" x14ac:dyDescent="0.3">
      <c r="A785" s="1" t="s">
        <v>927</v>
      </c>
      <c r="B785" s="1" t="str">
        <f ca="1">IFERROR(__xludf.DUMMYFUNCTION("GOOGLETRANSLATE(A785, ""en"", ""fr"")"),"CONFISQUER")</f>
        <v>CONFISQUER</v>
      </c>
      <c r="D785" s="1" t="s">
        <v>4963</v>
      </c>
    </row>
    <row r="786" spans="1:4" ht="14.25" customHeight="1" x14ac:dyDescent="0.3">
      <c r="A786" s="1" t="s">
        <v>928</v>
      </c>
      <c r="B786" s="1" t="str">
        <f ca="1">IFERROR(__xludf.DUMMYFUNCTION("GOOGLETRANSLATE(A786, ""en"", ""fr"")"),"CONFISQUÉ")</f>
        <v>CONFISQUÉ</v>
      </c>
      <c r="D786" s="1" t="s">
        <v>4963</v>
      </c>
    </row>
    <row r="787" spans="1:4" ht="14.25" customHeight="1" x14ac:dyDescent="0.3">
      <c r="A787" s="1" t="s">
        <v>929</v>
      </c>
      <c r="B787" s="1" t="str">
        <f ca="1">IFERROR(__xludf.DUMMYFUNCTION("GOOGLETRANSLATE(A787, ""en"", ""fr"")"),"Confisquer")</f>
        <v>Confisquer</v>
      </c>
      <c r="D787" s="1" t="s">
        <v>4963</v>
      </c>
    </row>
    <row r="788" spans="1:4" ht="14.25" customHeight="1" x14ac:dyDescent="0.3">
      <c r="A788" s="1" t="s">
        <v>930</v>
      </c>
      <c r="B788" s="1" t="str">
        <f ca="1">IFERROR(__xludf.DUMMYFUNCTION("GOOGLETRANSLATE(A788, ""en"", ""fr"")"),"Confiscation")</f>
        <v>Confiscation</v>
      </c>
      <c r="D788" s="1" t="s">
        <v>4963</v>
      </c>
    </row>
    <row r="789" spans="1:4" ht="14.25" customHeight="1" x14ac:dyDescent="0.3">
      <c r="A789" s="1" t="s">
        <v>931</v>
      </c>
      <c r="B789" s="1" t="str">
        <f ca="1">IFERROR(__xludf.DUMMYFUNCTION("GOOGLETRANSLATE(A789, ""en"", ""fr"")"),"CONFISCATION")</f>
        <v>CONFISCATION</v>
      </c>
      <c r="D789" s="1" t="s">
        <v>4963</v>
      </c>
    </row>
    <row r="790" spans="1:4" ht="14.25" customHeight="1" x14ac:dyDescent="0.3">
      <c r="A790" s="1" t="s">
        <v>932</v>
      </c>
      <c r="B790" s="1" t="str">
        <f ca="1">IFERROR(__xludf.DUMMYFUNCTION("GOOGLETRANSLATE(A790, ""en"", ""fr"")"),"Confiscations")</f>
        <v>Confiscations</v>
      </c>
      <c r="D790" s="1" t="s">
        <v>4963</v>
      </c>
    </row>
    <row r="791" spans="1:4" ht="14.25" customHeight="1" x14ac:dyDescent="0.3">
      <c r="A791" s="1" t="s">
        <v>933</v>
      </c>
      <c r="B791" s="1" t="str">
        <f ca="1">IFERROR(__xludf.DUMMYFUNCTION("GOOGLETRANSLATE(A791, ""en"", ""fr"")"),"CONFLIT")</f>
        <v>CONFLIT</v>
      </c>
      <c r="D791" s="1" t="s">
        <v>4963</v>
      </c>
    </row>
    <row r="792" spans="1:4" ht="14.25" customHeight="1" x14ac:dyDescent="0.3">
      <c r="A792" s="1" t="s">
        <v>934</v>
      </c>
      <c r="B792" s="1" t="str">
        <f ca="1">IFERROR(__xludf.DUMMYFUNCTION("GOOGLETRANSLATE(A792, ""en"", ""fr"")"),"En conflit")</f>
        <v>En conflit</v>
      </c>
      <c r="D792" s="1" t="s">
        <v>4963</v>
      </c>
    </row>
    <row r="793" spans="1:4" ht="14.25" customHeight="1" x14ac:dyDescent="0.3">
      <c r="A793" s="1" t="s">
        <v>935</v>
      </c>
      <c r="B793" s="1" t="str">
        <f ca="1">IFERROR(__xludf.DUMMYFUNCTION("GOOGLETRANSLATE(A793, ""en"", ""fr"")"),"CONTRADICTOIRE")</f>
        <v>CONTRADICTOIRE</v>
      </c>
      <c r="D793" s="1" t="s">
        <v>4963</v>
      </c>
    </row>
    <row r="794" spans="1:4" ht="14.25" customHeight="1" x14ac:dyDescent="0.3">
      <c r="A794" s="1" t="s">
        <v>936</v>
      </c>
      <c r="B794" s="1" t="str">
        <f ca="1">IFERROR(__xludf.DUMMYFUNCTION("GOOGLETRANSLATE(A794, ""en"", ""fr"")"),"CONFLITS")</f>
        <v>CONFLITS</v>
      </c>
      <c r="D794" s="1" t="s">
        <v>4963</v>
      </c>
    </row>
    <row r="795" spans="1:4" ht="14.25" customHeight="1" x14ac:dyDescent="0.3">
      <c r="A795" s="1" t="s">
        <v>937</v>
      </c>
      <c r="B795" s="1" t="str">
        <f ca="1">IFERROR(__xludf.DUMMYFUNCTION("GOOGLETRANSLATE(A795, ""en"", ""fr"")"),"AFFRONTER")</f>
        <v>AFFRONTER</v>
      </c>
      <c r="D795" s="1" t="s">
        <v>4963</v>
      </c>
    </row>
    <row r="796" spans="1:4" ht="14.25" customHeight="1" x14ac:dyDescent="0.3">
      <c r="A796" s="1" t="s">
        <v>938</v>
      </c>
      <c r="B796" s="1" t="str">
        <f ca="1">IFERROR(__xludf.DUMMYFUNCTION("GOOGLETRANSLATE(A796, ""en"", ""fr"")"),"AFFRONTEMENT")</f>
        <v>AFFRONTEMENT</v>
      </c>
      <c r="D796" s="1" t="s">
        <v>4963</v>
      </c>
    </row>
    <row r="797" spans="1:4" ht="14.25" customHeight="1" x14ac:dyDescent="0.3">
      <c r="A797" s="1" t="s">
        <v>939</v>
      </c>
      <c r="B797" s="1" t="str">
        <f ca="1">IFERROR(__xludf.DUMMYFUNCTION("GOOGLETRANSLATE(A797, ""en"", ""fr"")"),"Conflictuel")</f>
        <v>Conflictuel</v>
      </c>
      <c r="D797" s="1" t="s">
        <v>4963</v>
      </c>
    </row>
    <row r="798" spans="1:4" ht="14.25" customHeight="1" x14ac:dyDescent="0.3">
      <c r="A798" s="1" t="s">
        <v>940</v>
      </c>
      <c r="B798" s="1" t="str">
        <f ca="1">IFERROR(__xludf.DUMMYFUNCTION("GOOGLETRANSLATE(A798, ""en"", ""fr"")"),"Confrontations")</f>
        <v>Confrontations</v>
      </c>
      <c r="D798" s="1" t="s">
        <v>4963</v>
      </c>
    </row>
    <row r="799" spans="1:4" ht="14.25" customHeight="1" x14ac:dyDescent="0.3">
      <c r="A799" s="1" t="s">
        <v>941</v>
      </c>
      <c r="B799" s="1" t="str">
        <f ca="1">IFERROR(__xludf.DUMMYFUNCTION("GOOGLETRANSLATE(A799, ""en"", ""fr"")"),"Confronté")</f>
        <v>Confronté</v>
      </c>
      <c r="D799" s="1" t="s">
        <v>4963</v>
      </c>
    </row>
    <row r="800" spans="1:4" ht="14.25" customHeight="1" x14ac:dyDescent="0.3">
      <c r="A800" s="1" t="s">
        <v>942</v>
      </c>
      <c r="B800" s="1" t="str">
        <f ca="1">IFERROR(__xludf.DUMMYFUNCTION("GOOGLETRANSLATE(A800, ""en"", ""fr"")"),"Confrontant")</f>
        <v>Confrontant</v>
      </c>
      <c r="D800" s="1" t="s">
        <v>4963</v>
      </c>
    </row>
    <row r="801" spans="1:143" ht="14.25" customHeight="1" x14ac:dyDescent="0.3">
      <c r="A801" s="1" t="s">
        <v>943</v>
      </c>
      <c r="B801" s="1" t="str">
        <f ca="1">IFERROR(__xludf.DUMMYFUNCTION("GOOGLETRANSLATE(A801, ""en"", ""fr"")"),"Confronts")</f>
        <v>Confronts</v>
      </c>
      <c r="D801" s="1" t="s">
        <v>4963</v>
      </c>
    </row>
    <row r="802" spans="1:143" ht="14.25" customHeight="1" x14ac:dyDescent="0.3">
      <c r="A802" s="1" t="s">
        <v>944</v>
      </c>
      <c r="B802" s="1" t="str">
        <f ca="1">IFERROR(__xludf.DUMMYFUNCTION("GOOGLETRANSLATE(A802, ""en"", ""fr"")"),"EMBROUILLER")</f>
        <v>EMBROUILLER</v>
      </c>
      <c r="D802" s="1" t="s">
        <v>4963</v>
      </c>
    </row>
    <row r="803" spans="1:143" ht="14.25" customHeight="1" x14ac:dyDescent="0.3">
      <c r="A803" s="1" t="s">
        <v>945</v>
      </c>
      <c r="B803" s="1" t="str">
        <f ca="1">IFERROR(__xludf.DUMMYFUNCTION("GOOGLETRANSLATE(A803, ""en"", ""fr"")"),"CONFUS")</f>
        <v>CONFUS</v>
      </c>
      <c r="D803" s="1" t="s">
        <v>4963</v>
      </c>
    </row>
    <row r="804" spans="1:143" ht="14.25" customHeight="1" x14ac:dyDescent="0.3">
      <c r="A804" s="1" t="s">
        <v>946</v>
      </c>
      <c r="B804" s="1" t="str">
        <f ca="1">IFERROR(__xludf.DUMMYFUNCTION("GOOGLETRANSLATE(A804, ""en"", ""fr"")"),"Confondre")</f>
        <v>Confondre</v>
      </c>
      <c r="D804" s="1" t="s">
        <v>4963</v>
      </c>
    </row>
    <row r="805" spans="1:143" ht="14.25" customHeight="1" x14ac:dyDescent="0.3">
      <c r="A805" s="1" t="s">
        <v>947</v>
      </c>
      <c r="B805" s="1" t="str">
        <f ca="1">IFERROR(__xludf.DUMMYFUNCTION("GOOGLETRANSLATE(A805, ""en"", ""fr"")"),"DÉROUTANT")</f>
        <v>DÉROUTANT</v>
      </c>
      <c r="D805" s="1" t="s">
        <v>4963</v>
      </c>
    </row>
    <row r="806" spans="1:143" ht="14.25" customHeight="1" x14ac:dyDescent="0.3">
      <c r="A806" s="1" t="s">
        <v>948</v>
      </c>
      <c r="B806" s="1" t="str">
        <f ca="1">IFERROR(__xludf.DUMMYFUNCTION("GOOGLETRANSLATE(A806, ""en"", ""fr"")"),"Avec confusion")</f>
        <v>Avec confusion</v>
      </c>
      <c r="D806" s="1" t="s">
        <v>4963</v>
      </c>
    </row>
    <row r="807" spans="1:143" ht="14.25" customHeight="1" x14ac:dyDescent="0.3">
      <c r="A807" s="1" t="s">
        <v>949</v>
      </c>
      <c r="B807" s="1" t="str">
        <f ca="1">IFERROR(__xludf.DUMMYFUNCTION("GOOGLETRANSLATE(A807, ""en"", ""fr"")"),"CONFUSION")</f>
        <v>CONFUSION</v>
      </c>
      <c r="D807" s="1" t="s">
        <v>4963</v>
      </c>
    </row>
    <row r="808" spans="1:143" ht="14.25" customHeight="1" x14ac:dyDescent="0.3">
      <c r="A808" s="1" t="s">
        <v>950</v>
      </c>
      <c r="B808" s="1" t="str">
        <f ca="1">IFERROR(__xludf.DUMMYFUNCTION("GOOGLETRANSLATE(A808, ""en"", ""fr"")"),"conocophillips")</f>
        <v>conocophillips</v>
      </c>
      <c r="BF808" s="1" t="s">
        <v>55</v>
      </c>
      <c r="BI808" s="1" t="s">
        <v>58</v>
      </c>
      <c r="CO808" s="1" t="s">
        <v>90</v>
      </c>
      <c r="EB808" s="1" t="s">
        <v>129</v>
      </c>
      <c r="EM808" s="1" t="s">
        <v>140</v>
      </c>
    </row>
    <row r="809" spans="1:143" ht="14.25" customHeight="1" x14ac:dyDescent="0.3">
      <c r="A809" s="1" t="s">
        <v>951</v>
      </c>
      <c r="B809" s="1" t="str">
        <f ca="1">IFERROR(__xludf.DUMMYFUNCTION("GOOGLETRANSLATE(A809, ""en"", ""fr"")"),"conocophillips")</f>
        <v>conocophillips</v>
      </c>
      <c r="BI809" s="1" t="s">
        <v>58</v>
      </c>
      <c r="CO809" s="1" t="s">
        <v>90</v>
      </c>
      <c r="DT809" s="1" t="s">
        <v>121</v>
      </c>
      <c r="EM809" s="1" t="s">
        <v>140</v>
      </c>
    </row>
    <row r="810" spans="1:143" ht="14.25" customHeight="1" x14ac:dyDescent="0.3">
      <c r="A810" s="1" t="s">
        <v>952</v>
      </c>
      <c r="B810" s="1" t="str">
        <f ca="1">IFERROR(__xludf.DUMMYFUNCTION("GOOGLETRANSLATE(A810, ""en"", ""fr"")"),"consignation")</f>
        <v>consignation</v>
      </c>
      <c r="M810" s="1" t="s">
        <v>10</v>
      </c>
    </row>
    <row r="811" spans="1:143" ht="14.25" customHeight="1" x14ac:dyDescent="0.3">
      <c r="A811" s="1" t="s">
        <v>953</v>
      </c>
      <c r="B811" s="1" t="str">
        <f ca="1">IFERROR(__xludf.DUMMYFUNCTION("GOOGLETRANSLATE(A811, ""en"", ""fr"")"),"Complots")</f>
        <v>Complots</v>
      </c>
      <c r="D811" s="1" t="s">
        <v>4963</v>
      </c>
    </row>
    <row r="812" spans="1:143" ht="14.25" customHeight="1" x14ac:dyDescent="0.3">
      <c r="A812" s="1" t="s">
        <v>954</v>
      </c>
      <c r="B812" s="1" t="str">
        <f ca="1">IFERROR(__xludf.DUMMYFUNCTION("GOOGLETRANSLATE(A812, ""en"", ""fr"")"),"CONSPIRATION")</f>
        <v>CONSPIRATION</v>
      </c>
      <c r="D812" s="1" t="s">
        <v>4963</v>
      </c>
    </row>
    <row r="813" spans="1:143" ht="14.25" customHeight="1" x14ac:dyDescent="0.3">
      <c r="A813" s="1" t="s">
        <v>955</v>
      </c>
      <c r="B813" s="1" t="str">
        <f ca="1">IFERROR(__xludf.DUMMYFUNCTION("GOOGLETRANSLATE(A813, ""en"", ""fr"")"),"CONSPIRATEUR")</f>
        <v>CONSPIRATEUR</v>
      </c>
      <c r="D813" s="1" t="s">
        <v>4963</v>
      </c>
    </row>
    <row r="814" spans="1:143" ht="14.25" customHeight="1" x14ac:dyDescent="0.3">
      <c r="A814" s="1" t="s">
        <v>956</v>
      </c>
      <c r="B814" s="1" t="str">
        <f ca="1">IFERROR(__xludf.DUMMYFUNCTION("GOOGLETRANSLATE(A814, ""en"", ""fr"")"),"CONSPIRATEUR")</f>
        <v>CONSPIRATEUR</v>
      </c>
      <c r="D814" s="1" t="s">
        <v>4963</v>
      </c>
    </row>
    <row r="815" spans="1:143" ht="14.25" customHeight="1" x14ac:dyDescent="0.3">
      <c r="A815" s="1" t="s">
        <v>957</v>
      </c>
      <c r="B815" s="1" t="str">
        <f ca="1">IFERROR(__xludf.DUMMYFUNCTION("GOOGLETRANSLATE(A815, ""en"", ""fr"")"),"Conspirateurs")</f>
        <v>Conspirateurs</v>
      </c>
      <c r="D815" s="1" t="s">
        <v>4963</v>
      </c>
    </row>
    <row r="816" spans="1:143" ht="14.25" customHeight="1" x14ac:dyDescent="0.3">
      <c r="A816" s="1" t="s">
        <v>958</v>
      </c>
      <c r="B816" s="1" t="str">
        <f ca="1">IFERROR(__xludf.DUMMYFUNCTION("GOOGLETRANSLATE(A816, ""en"", ""fr"")"),"CONSPIRER")</f>
        <v>CONSPIRER</v>
      </c>
      <c r="D816" s="1" t="s">
        <v>4963</v>
      </c>
    </row>
    <row r="817" spans="1:13" ht="14.25" customHeight="1" x14ac:dyDescent="0.3">
      <c r="A817" s="1" t="s">
        <v>959</v>
      </c>
      <c r="B817" s="1" t="str">
        <f ca="1">IFERROR(__xludf.DUMMYFUNCTION("GOOGLETRANSLATE(A817, ""en"", ""fr"")"),"Conspiré")</f>
        <v>Conspiré</v>
      </c>
      <c r="D817" s="1" t="s">
        <v>4963</v>
      </c>
    </row>
    <row r="818" spans="1:13" ht="14.25" customHeight="1" x14ac:dyDescent="0.3">
      <c r="A818" s="1" t="s">
        <v>960</v>
      </c>
      <c r="B818" s="1" t="str">
        <f ca="1">IFERROR(__xludf.DUMMYFUNCTION("GOOGLETRANSLATE(A818, ""en"", ""fr"")"),"Conspiration")</f>
        <v>Conspiration</v>
      </c>
      <c r="D818" s="1" t="s">
        <v>4963</v>
      </c>
    </row>
    <row r="819" spans="1:13" ht="14.25" customHeight="1" x14ac:dyDescent="0.3">
      <c r="A819" s="1" t="s">
        <v>961</v>
      </c>
      <c r="B819" s="1" t="str">
        <f ca="1">IFERROR(__xludf.DUMMYFUNCTION("GOOGLETRANSLATE(A819, ""en"", ""fr"")"),"Conspiration")</f>
        <v>Conspiration</v>
      </c>
      <c r="D819" s="1" t="s">
        <v>4963</v>
      </c>
    </row>
    <row r="820" spans="1:13" ht="14.25" customHeight="1" x14ac:dyDescent="0.3">
      <c r="A820" s="1" t="s">
        <v>962</v>
      </c>
      <c r="B820" s="1" t="str">
        <f ca="1">IFERROR(__xludf.DUMMYFUNCTION("GOOGLETRANSLATE(A820, ""en"", ""fr"")"),"PIB en dollars constants")</f>
        <v>PIB en dollars constants</v>
      </c>
      <c r="M820" s="1" t="s">
        <v>10</v>
      </c>
    </row>
    <row r="821" spans="1:13" ht="14.25" customHeight="1" x14ac:dyDescent="0.3">
      <c r="A821" s="1" t="s">
        <v>963</v>
      </c>
      <c r="B821" s="1" t="str">
        <f ca="1">IFERROR(__xludf.DUMMYFUNCTION("GOOGLETRANSLATE(A821, ""en"", ""fr"")"),"dollars constants")</f>
        <v>dollars constants</v>
      </c>
      <c r="M821" s="1" t="s">
        <v>10</v>
      </c>
    </row>
    <row r="822" spans="1:13" ht="14.25" customHeight="1" x14ac:dyDescent="0.3">
      <c r="A822" s="1" t="s">
        <v>964</v>
      </c>
      <c r="B822" s="1" t="str">
        <f ca="1">IFERROR(__xludf.DUMMYFUNCTION("GOOGLETRANSLATE(A822, ""en"", ""fr"")"),"dépenses de construction")</f>
        <v>dépenses de construction</v>
      </c>
      <c r="M822" s="1" t="s">
        <v>10</v>
      </c>
    </row>
    <row r="823" spans="1:13" ht="14.25" customHeight="1" x14ac:dyDescent="0.3">
      <c r="A823" s="1" t="s">
        <v>965</v>
      </c>
      <c r="B823" s="1" t="str">
        <f ca="1">IFERROR(__xludf.DUMMYFUNCTION("GOOGLETRANSLATE(A823, ""en"", ""fr"")"),"CONSTRUCTIF")</f>
        <v>CONSTRUCTIF</v>
      </c>
      <c r="H823" s="1" t="s">
        <v>4964</v>
      </c>
    </row>
    <row r="824" spans="1:13" ht="14.25" customHeight="1" x14ac:dyDescent="0.3">
      <c r="A824" s="1" t="s">
        <v>966</v>
      </c>
      <c r="B824" s="1" t="str">
        <f ca="1">IFERROR(__xludf.DUMMYFUNCTION("GOOGLETRANSLATE(A824, ""en"", ""fr"")"),"De manière constructive")</f>
        <v>De manière constructive</v>
      </c>
      <c r="H824" s="1" t="s">
        <v>4964</v>
      </c>
    </row>
    <row r="825" spans="1:13" ht="14.25" customHeight="1" x14ac:dyDescent="0.3">
      <c r="A825" s="1" t="s">
        <v>967</v>
      </c>
      <c r="B825" s="1" t="str">
        <f ca="1">IFERROR(__xludf.DUMMYFUNCTION("GOOGLETRANSLATE(A825, ""en"", ""fr"")"),"INTERPRÉTER")</f>
        <v>INTERPRÉTER</v>
      </c>
      <c r="D825" s="1" t="s">
        <v>4963</v>
      </c>
    </row>
    <row r="826" spans="1:13" ht="14.25" customHeight="1" x14ac:dyDescent="0.3">
      <c r="A826" s="1" t="s">
        <v>968</v>
      </c>
      <c r="B826" s="1" t="str">
        <f ca="1">IFERROR(__xludf.DUMMYFUNCTION("GOOGLETRANSLATE(A826, ""en"", ""fr"")"),"Interprété")</f>
        <v>Interprété</v>
      </c>
      <c r="D826" s="1" t="s">
        <v>4963</v>
      </c>
    </row>
    <row r="827" spans="1:13" ht="14.25" customHeight="1" x14ac:dyDescent="0.3">
      <c r="A827" s="1" t="s">
        <v>969</v>
      </c>
      <c r="B827" s="1" t="str">
        <f ca="1">IFERROR(__xludf.DUMMYFUNCTION("GOOGLETRANSLATE(A827, ""en"", ""fr"")"),"Interprétation")</f>
        <v>Interprétation</v>
      </c>
      <c r="D827" s="1" t="s">
        <v>4963</v>
      </c>
    </row>
    <row r="828" spans="1:13" ht="14.25" customHeight="1" x14ac:dyDescent="0.3">
      <c r="A828" s="1" t="s">
        <v>970</v>
      </c>
      <c r="B828" s="1" t="str">
        <f ca="1">IFERROR(__xludf.DUMMYFUNCTION("GOOGLETRANSLATE(A828, ""en"", ""fr"")"),"Interprétation")</f>
        <v>Interprétation</v>
      </c>
      <c r="D828" s="1" t="s">
        <v>4963</v>
      </c>
    </row>
    <row r="829" spans="1:13" ht="14.25" customHeight="1" x14ac:dyDescent="0.3">
      <c r="A829" s="1" t="s">
        <v>971</v>
      </c>
      <c r="B829" s="1" t="str">
        <f ca="1">IFERROR(__xludf.DUMMYFUNCTION("GOOGLETRANSLATE(A829, ""en"", ""fr"")"),"consommateur")</f>
        <v>consommateur</v>
      </c>
      <c r="M829" s="1" t="s">
        <v>10</v>
      </c>
    </row>
    <row r="830" spans="1:13" ht="14.25" customHeight="1" x14ac:dyDescent="0.3">
      <c r="A830" s="1" t="s">
        <v>972</v>
      </c>
      <c r="B830" s="1" t="str">
        <f ca="1">IFERROR(__xludf.DUMMYFUNCTION("GOOGLETRANSLATE(A830, ""en"", ""fr"")"),"panier de consommation")</f>
        <v>panier de consommation</v>
      </c>
      <c r="M830" s="1" t="s">
        <v>10</v>
      </c>
    </row>
    <row r="831" spans="1:13" ht="14.25" customHeight="1" x14ac:dyDescent="0.3">
      <c r="A831" s="1" t="s">
        <v>973</v>
      </c>
      <c r="B831" s="1" t="str">
        <f ca="1">IFERROR(__xludf.DUMMYFUNCTION("GOOGLETRANSLATE(A831, ""en"", ""fr"")"),"la confiance des consommateurs")</f>
        <v>la confiance des consommateurs</v>
      </c>
      <c r="M831" s="1" t="s">
        <v>10</v>
      </c>
    </row>
    <row r="832" spans="1:13" ht="14.25" customHeight="1" x14ac:dyDescent="0.3">
      <c r="A832" s="1" t="s">
        <v>974</v>
      </c>
      <c r="B832" s="1" t="str">
        <f ca="1">IFERROR(__xludf.DUMMYFUNCTION("GOOGLETRANSLATE(A832, ""en"", ""fr"")"),"Indice de confiance des consommateurs")</f>
        <v>Indice de confiance des consommateurs</v>
      </c>
      <c r="M832" s="1" t="s">
        <v>10</v>
      </c>
    </row>
    <row r="833" spans="1:13" ht="14.25" customHeight="1" x14ac:dyDescent="0.3">
      <c r="A833" s="1" t="s">
        <v>975</v>
      </c>
      <c r="B833" s="1" t="str">
        <f ca="1">IFERROR(__xludf.DUMMYFUNCTION("GOOGLETRANSLATE(A833, ""en"", ""fr"")"),"consommateur cyclique")</f>
        <v>consommateur cyclique</v>
      </c>
      <c r="M833" s="1" t="s">
        <v>10</v>
      </c>
    </row>
    <row r="834" spans="1:13" ht="14.25" customHeight="1" x14ac:dyDescent="0.3">
      <c r="A834" s="1" t="s">
        <v>976</v>
      </c>
      <c r="B834" s="1" t="str">
        <f ca="1">IFERROR(__xludf.DUMMYFUNCTION("GOOGLETRANSLATE(A834, ""en"", ""fr"")"),"discrétionnaire des consommateurs")</f>
        <v>discrétionnaire des consommateurs</v>
      </c>
      <c r="M834" s="1" t="s">
        <v>10</v>
      </c>
    </row>
    <row r="835" spans="1:13" ht="14.25" customHeight="1" x14ac:dyDescent="0.3">
      <c r="A835" s="1" t="s">
        <v>977</v>
      </c>
      <c r="B835" s="1" t="str">
        <f ca="1">IFERROR(__xludf.DUMMYFUNCTION("GOOGLETRANSLATE(A835, ""en"", ""fr"")"),"biens de consommation durables")</f>
        <v>biens de consommation durables</v>
      </c>
      <c r="M835" s="1" t="s">
        <v>10</v>
      </c>
    </row>
    <row r="836" spans="1:13" ht="14.25" customHeight="1" x14ac:dyDescent="0.3">
      <c r="A836" s="1" t="s">
        <v>978</v>
      </c>
      <c r="B836" s="1" t="str">
        <f ca="1">IFERROR(__xludf.DUMMYFUNCTION("GOOGLETRANSLATE(A836, ""en"", ""fr"")"),"indice des prix à la consommation")</f>
        <v>indice des prix à la consommation</v>
      </c>
      <c r="M836" s="1" t="s">
        <v>10</v>
      </c>
    </row>
    <row r="837" spans="1:13" ht="14.25" customHeight="1" x14ac:dyDescent="0.3">
      <c r="A837" s="1" t="s">
        <v>979</v>
      </c>
      <c r="B837" s="1" t="str">
        <f ca="1">IFERROR(__xludf.DUMMYFUNCTION("GOOGLETRANSLATE(A837, ""en"", ""fr"")"),"Index du sentiment des consommateurs")</f>
        <v>Index du sentiment des consommateurs</v>
      </c>
      <c r="M837" s="1" t="s">
        <v>10</v>
      </c>
    </row>
    <row r="838" spans="1:13" ht="14.25" customHeight="1" x14ac:dyDescent="0.3">
      <c r="A838" s="1" t="s">
        <v>980</v>
      </c>
      <c r="B838" s="1" t="str">
        <f ca="1">IFERROR(__xludf.DUMMYFUNCTION("GOOGLETRANSLATE(A838, ""en"", ""fr"")"),"agrafes de consommation")</f>
        <v>agrafes de consommation</v>
      </c>
      <c r="M838" s="1" t="s">
        <v>10</v>
      </c>
    </row>
    <row r="839" spans="1:13" ht="14.25" customHeight="1" x14ac:dyDescent="0.3">
      <c r="A839" s="1" t="s">
        <v>981</v>
      </c>
      <c r="B839" s="1" t="str">
        <f ca="1">IFERROR(__xludf.DUMMYFUNCTION("GOOGLETRANSLATE(A839, ""en"", ""fr"")"),"consommation")</f>
        <v>consommation</v>
      </c>
      <c r="M839" s="1" t="s">
        <v>10</v>
      </c>
    </row>
    <row r="840" spans="1:13" ht="14.25" customHeight="1" x14ac:dyDescent="0.3">
      <c r="A840" s="1" t="s">
        <v>982</v>
      </c>
      <c r="B840" s="1" t="str">
        <f ca="1">IFERROR(__xludf.DUMMYFUNCTION("GOOGLETRANSLATE(A840, ""en"", ""fr"")"),"contagion")</f>
        <v>contagion</v>
      </c>
      <c r="M840" s="1" t="s">
        <v>10</v>
      </c>
    </row>
    <row r="841" spans="1:13" ht="14.25" customHeight="1" x14ac:dyDescent="0.3">
      <c r="A841" s="1" t="s">
        <v>983</v>
      </c>
      <c r="B841" s="1" t="str">
        <f ca="1">IFERROR(__xludf.DUMMYFUNCTION("GOOGLETRANSLATE(A841, ""en"", ""fr"")"),"MÉPRIS")</f>
        <v>MÉPRIS</v>
      </c>
      <c r="D841" s="1" t="s">
        <v>4963</v>
      </c>
    </row>
    <row r="842" spans="1:13" ht="14.25" customHeight="1" x14ac:dyDescent="0.3">
      <c r="A842" s="1" t="s">
        <v>984</v>
      </c>
      <c r="B842" s="1" t="str">
        <f ca="1">IFERROR(__xludf.DUMMYFUNCTION("GOOGLETRANSLATE(A842, ""en"", ""fr"")"),"COMBATTRE")</f>
        <v>COMBATTRE</v>
      </c>
      <c r="D842" s="1" t="s">
        <v>4963</v>
      </c>
    </row>
    <row r="843" spans="1:13" ht="14.25" customHeight="1" x14ac:dyDescent="0.3">
      <c r="A843" s="1" t="s">
        <v>985</v>
      </c>
      <c r="B843" s="1" t="str">
        <f ca="1">IFERROR(__xludf.DUMMYFUNCTION("GOOGLETRANSLATE(A843, ""en"", ""fr"")"),"Soutenu")</f>
        <v>Soutenu</v>
      </c>
      <c r="D843" s="1" t="s">
        <v>4963</v>
      </c>
    </row>
    <row r="844" spans="1:13" ht="14.25" customHeight="1" x14ac:dyDescent="0.3">
      <c r="A844" s="1" t="s">
        <v>986</v>
      </c>
      <c r="B844" s="1" t="str">
        <f ca="1">IFERROR(__xludf.DUMMYFUNCTION("GOOGLETRANSLATE(A844, ""en"", ""fr"")"),"En prélèvement")</f>
        <v>En prélèvement</v>
      </c>
      <c r="D844" s="1" t="s">
        <v>4963</v>
      </c>
    </row>
    <row r="845" spans="1:13" ht="14.25" customHeight="1" x14ac:dyDescent="0.3">
      <c r="A845" s="1" t="s">
        <v>987</v>
      </c>
      <c r="B845" s="1" t="str">
        <f ca="1">IFERROR(__xludf.DUMMYFUNCTION("GOOGLETRANSLATE(A845, ""en"", ""fr"")"),"Soutient")</f>
        <v>Soutient</v>
      </c>
      <c r="D845" s="1" t="s">
        <v>4963</v>
      </c>
    </row>
    <row r="846" spans="1:13" ht="14.25" customHeight="1" x14ac:dyDescent="0.3">
      <c r="A846" s="1" t="s">
        <v>988</v>
      </c>
      <c r="B846" s="1" t="str">
        <f ca="1">IFERROR(__xludf.DUMMYFUNCTION("GOOGLETRANSLATE(A846, ""en"", ""fr"")"),"CONTENTION")</f>
        <v>CONTENTION</v>
      </c>
      <c r="D846" s="1" t="s">
        <v>4963</v>
      </c>
    </row>
    <row r="847" spans="1:13" ht="14.25" customHeight="1" x14ac:dyDescent="0.3">
      <c r="A847" s="1" t="s">
        <v>989</v>
      </c>
      <c r="B847" s="1" t="str">
        <f ca="1">IFERROR(__xludf.DUMMYFUNCTION("GOOGLETRANSLATE(A847, ""en"", ""fr"")"),"Affrontements")</f>
        <v>Affrontements</v>
      </c>
      <c r="D847" s="1" t="s">
        <v>4963</v>
      </c>
    </row>
    <row r="848" spans="1:13" ht="14.25" customHeight="1" x14ac:dyDescent="0.3">
      <c r="A848" s="1" t="s">
        <v>990</v>
      </c>
      <c r="B848" s="1" t="str">
        <f ca="1">IFERROR(__xludf.DUMMYFUNCTION("GOOGLETRANSLATE(A848, ""en"", ""fr"")"),"Controverse")</f>
        <v>Controverse</v>
      </c>
      <c r="D848" s="1" t="s">
        <v>4963</v>
      </c>
    </row>
    <row r="849" spans="1:96" ht="14.25" customHeight="1" x14ac:dyDescent="0.3">
      <c r="A849" s="1" t="s">
        <v>991</v>
      </c>
      <c r="B849" s="1" t="str">
        <f ca="1">IFERROR(__xludf.DUMMYFUNCTION("GOOGLETRANSLATE(A849, ""en"", ""fr"")"),"Avec controversation")</f>
        <v>Avec controversation</v>
      </c>
      <c r="D849" s="1" t="s">
        <v>4963</v>
      </c>
    </row>
    <row r="850" spans="1:96" ht="14.25" customHeight="1" x14ac:dyDescent="0.3">
      <c r="A850" s="1" t="s">
        <v>992</v>
      </c>
      <c r="B850" s="1" t="str">
        <f ca="1">IFERROR(__xludf.DUMMYFUNCTION("GOOGLETRANSLATE(A850, ""en"", ""fr"")"),"Contesté")</f>
        <v>Contesté</v>
      </c>
      <c r="D850" s="1" t="s">
        <v>4963</v>
      </c>
    </row>
    <row r="851" spans="1:96" ht="14.25" customHeight="1" x14ac:dyDescent="0.3">
      <c r="A851" s="1" t="s">
        <v>993</v>
      </c>
      <c r="B851" s="1" t="str">
        <f ca="1">IFERROR(__xludf.DUMMYFUNCTION("GOOGLETRANSLATE(A851, ""en"", ""fr"")"),"Contestation")</f>
        <v>Contestation</v>
      </c>
      <c r="D851" s="1" t="s">
        <v>4963</v>
      </c>
    </row>
    <row r="852" spans="1:96" ht="14.25" customHeight="1" x14ac:dyDescent="0.3">
      <c r="A852" s="1" t="s">
        <v>994</v>
      </c>
      <c r="B852" s="1" t="str">
        <f ca="1">IFERROR(__xludf.DUMMYFUNCTION("GOOGLETRANSLATE(A852, ""en"", ""fr"")"),"comptes contra")</f>
        <v>comptes contra</v>
      </c>
      <c r="CR852" s="1" t="s">
        <v>93</v>
      </c>
    </row>
    <row r="853" spans="1:96" ht="14.25" customHeight="1" x14ac:dyDescent="0.3">
      <c r="A853" s="1" t="s">
        <v>995</v>
      </c>
      <c r="B853" s="1" t="str">
        <f ca="1">IFERROR(__xludf.DUMMYFUNCTION("GOOGLETRANSLATE(A853, ""en"", ""fr"")"),"contraction")</f>
        <v>contraction</v>
      </c>
      <c r="D853" s="1" t="s">
        <v>4963</v>
      </c>
      <c r="M853" s="1" t="s">
        <v>10</v>
      </c>
    </row>
    <row r="854" spans="1:96" ht="14.25" customHeight="1" x14ac:dyDescent="0.3">
      <c r="A854" s="1" t="s">
        <v>996</v>
      </c>
      <c r="B854" s="1" t="str">
        <f ca="1">IFERROR(__xludf.DUMMYFUNCTION("GOOGLETRANSLATE(A854, ""en"", ""fr"")"),"Politique monétaire de contraction")</f>
        <v>Politique monétaire de contraction</v>
      </c>
      <c r="M854" s="1" t="s">
        <v>10</v>
      </c>
    </row>
    <row r="855" spans="1:96" ht="14.25" customHeight="1" x14ac:dyDescent="0.3">
      <c r="A855" s="1" t="s">
        <v>997</v>
      </c>
      <c r="B855" s="1" t="str">
        <f ca="1">IFERROR(__xludf.DUMMYFUNCTION("GOOGLETRANSLATE(A855, ""en"", ""fr"")"),"Contractions")</f>
        <v>Contractions</v>
      </c>
      <c r="D855" s="1" t="s">
        <v>4963</v>
      </c>
    </row>
    <row r="856" spans="1:96" ht="14.25" customHeight="1" x14ac:dyDescent="0.3">
      <c r="A856" s="1" t="s">
        <v>998</v>
      </c>
      <c r="B856" s="1" t="str">
        <f ca="1">IFERROR(__xludf.DUMMYFUNCTION("GOOGLETRANSLATE(A856, ""en"", ""fr"")"),"CONTREDIRE")</f>
        <v>CONTREDIRE</v>
      </c>
      <c r="D856" s="1" t="s">
        <v>4963</v>
      </c>
    </row>
    <row r="857" spans="1:96" ht="14.25" customHeight="1" x14ac:dyDescent="0.3">
      <c r="A857" s="1" t="s">
        <v>999</v>
      </c>
      <c r="B857" s="1" t="str">
        <f ca="1">IFERROR(__xludf.DUMMYFUNCTION("GOOGLETRANSLATE(A857, ""en"", ""fr"")"),"Contredit")</f>
        <v>Contredit</v>
      </c>
      <c r="D857" s="1" t="s">
        <v>4963</v>
      </c>
    </row>
    <row r="858" spans="1:96" ht="14.25" customHeight="1" x14ac:dyDescent="0.3">
      <c r="A858" s="1" t="s">
        <v>1000</v>
      </c>
      <c r="B858" s="1" t="str">
        <f ca="1">IFERROR(__xludf.DUMMYFUNCTION("GOOGLETRANSLATE(A858, ""en"", ""fr"")"),"Contradictoire")</f>
        <v>Contradictoire</v>
      </c>
      <c r="D858" s="1" t="s">
        <v>4963</v>
      </c>
    </row>
    <row r="859" spans="1:96" ht="14.25" customHeight="1" x14ac:dyDescent="0.3">
      <c r="A859" s="1" t="s">
        <v>1001</v>
      </c>
      <c r="B859" s="1" t="str">
        <f ca="1">IFERROR(__xludf.DUMMYFUNCTION("GOOGLETRANSLATE(A859, ""en"", ""fr"")"),"CONTRADICTION")</f>
        <v>CONTRADICTION</v>
      </c>
      <c r="D859" s="1" t="s">
        <v>4963</v>
      </c>
    </row>
    <row r="860" spans="1:96" ht="14.25" customHeight="1" x14ac:dyDescent="0.3">
      <c r="A860" s="1" t="s">
        <v>1002</v>
      </c>
      <c r="B860" s="1" t="str">
        <f ca="1">IFERROR(__xludf.DUMMYFUNCTION("GOOGLETRANSLATE(A860, ""en"", ""fr"")"),"Contradictions")</f>
        <v>Contradictions</v>
      </c>
      <c r="D860" s="1" t="s">
        <v>4963</v>
      </c>
    </row>
    <row r="861" spans="1:96" ht="14.25" customHeight="1" x14ac:dyDescent="0.3">
      <c r="A861" s="1" t="s">
        <v>1003</v>
      </c>
      <c r="B861" s="1" t="str">
        <f ca="1">IFERROR(__xludf.DUMMYFUNCTION("GOOGLETRANSLATE(A861, ""en"", ""fr"")"),"CONTRADICTOIRE")</f>
        <v>CONTRADICTOIRE</v>
      </c>
      <c r="D861" s="1" t="s">
        <v>4963</v>
      </c>
    </row>
    <row r="862" spans="1:96" ht="14.25" customHeight="1" x14ac:dyDescent="0.3">
      <c r="A862" s="1" t="s">
        <v>1004</v>
      </c>
      <c r="B862" s="1" t="str">
        <f ca="1">IFERROR(__xludf.DUMMYFUNCTION("GOOGLETRANSLATE(A862, ""en"", ""fr"")"),"Contredire")</f>
        <v>Contredire</v>
      </c>
      <c r="D862" s="1" t="s">
        <v>4963</v>
      </c>
    </row>
    <row r="863" spans="1:96" ht="14.25" customHeight="1" x14ac:dyDescent="0.3">
      <c r="A863" s="1" t="s">
        <v>1005</v>
      </c>
      <c r="B863" s="1" t="str">
        <f ca="1">IFERROR(__xludf.DUMMYFUNCTION("GOOGLETRANSLATE(A863, ""en"", ""fr"")"),"CONTRAIRE")</f>
        <v>CONTRAIRE</v>
      </c>
      <c r="D863" s="1" t="s">
        <v>4963</v>
      </c>
    </row>
    <row r="864" spans="1:96" ht="14.25" customHeight="1" x14ac:dyDescent="0.3">
      <c r="A864" s="1" t="s">
        <v>1006</v>
      </c>
      <c r="B864" s="1" t="str">
        <f ca="1">IFERROR(__xludf.DUMMYFUNCTION("GOOGLETRANSLATE(A864, ""en"", ""fr"")"),"Capital contribué")</f>
        <v>Capital contribué</v>
      </c>
      <c r="CR864" s="1" t="s">
        <v>93</v>
      </c>
    </row>
    <row r="865" spans="1:142" ht="14.25" customHeight="1" x14ac:dyDescent="0.3">
      <c r="A865" s="1" t="s">
        <v>1007</v>
      </c>
      <c r="B865" s="1" t="str">
        <f ca="1">IFERROR(__xludf.DUMMYFUNCTION("GOOGLETRANSLATE(A865, ""en"", ""fr"")"),"marge de contribution")</f>
        <v>marge de contribution</v>
      </c>
      <c r="CR865" s="1" t="s">
        <v>93</v>
      </c>
    </row>
    <row r="866" spans="1:142" ht="14.25" customHeight="1" x14ac:dyDescent="0.3">
      <c r="A866" s="1" t="s">
        <v>1008</v>
      </c>
      <c r="B866" s="1" t="str">
        <f ca="1">IFERROR(__xludf.DUMMYFUNCTION("GOOGLETRANSLATE(A866, ""en"", ""fr"")"),"Forage sauvage contrôlé")</f>
        <v>Forage sauvage contrôlé</v>
      </c>
      <c r="M866" s="1" t="s">
        <v>10</v>
      </c>
    </row>
    <row r="867" spans="1:142" ht="14.25" customHeight="1" x14ac:dyDescent="0.3">
      <c r="A867" s="1" t="s">
        <v>1009</v>
      </c>
      <c r="B867" s="1" t="str">
        <f ca="1">IFERROR(__xludf.DUMMYFUNCTION("GOOGLETRANSLATE(A867, ""en"", ""fr"")"),"CONTROVERSÉ")</f>
        <v>CONTROVERSÉ</v>
      </c>
      <c r="D867" s="1" t="s">
        <v>4963</v>
      </c>
    </row>
    <row r="868" spans="1:142" ht="14.25" customHeight="1" x14ac:dyDescent="0.3">
      <c r="A868" s="1" t="s">
        <v>1010</v>
      </c>
      <c r="B868" s="1" t="str">
        <f ca="1">IFERROR(__xludf.DUMMYFUNCTION("GOOGLETRANSLATE(A868, ""en"", ""fr"")"),"Controverses")</f>
        <v>Controverses</v>
      </c>
      <c r="D868" s="1" t="s">
        <v>4963</v>
      </c>
    </row>
    <row r="869" spans="1:142" ht="14.25" customHeight="1" x14ac:dyDescent="0.3">
      <c r="A869" s="1" t="s">
        <v>1011</v>
      </c>
      <c r="B869" s="1" t="str">
        <f ca="1">IFERROR(__xludf.DUMMYFUNCTION("GOOGLETRANSLATE(A869, ""en"", ""fr"")"),"CONTROVERSE")</f>
        <v>CONTROVERSE</v>
      </c>
      <c r="D869" s="1" t="s">
        <v>4963</v>
      </c>
    </row>
    <row r="870" spans="1:142" ht="14.25" customHeight="1" x14ac:dyDescent="0.3">
      <c r="A870" s="1" t="s">
        <v>1012</v>
      </c>
      <c r="B870" s="1" t="str">
        <f ca="1">IFERROR(__xludf.DUMMYFUNCTION("GOOGLETRANSLATE(A870, ""en"", ""fr"")"),"raffinerie")</f>
        <v>raffinerie</v>
      </c>
      <c r="BF870" s="1" t="s">
        <v>55</v>
      </c>
      <c r="BI870" s="1" t="s">
        <v>58</v>
      </c>
      <c r="DJ870" s="1" t="s">
        <v>111</v>
      </c>
      <c r="DZ870" s="1" t="s">
        <v>127</v>
      </c>
    </row>
    <row r="871" spans="1:142" ht="14.25" customHeight="1" x14ac:dyDescent="0.3">
      <c r="A871" s="1" t="s">
        <v>1013</v>
      </c>
      <c r="B871" s="1" t="str">
        <f ca="1">IFERROR(__xludf.DUMMYFUNCTION("GOOGLETRANSLATE(A871, ""en"", ""fr"")"),"Pétrole brut conventionnel")</f>
        <v>Pétrole brut conventionnel</v>
      </c>
      <c r="EL871" s="1" t="s">
        <v>139</v>
      </c>
    </row>
    <row r="872" spans="1:142" ht="14.25" customHeight="1" x14ac:dyDescent="0.3">
      <c r="A872" s="1" t="s">
        <v>1014</v>
      </c>
      <c r="B872" s="1" t="str">
        <f ca="1">IFERROR(__xludf.DUMMYFUNCTION("GOOGLETRANSLATE(A872, ""en"", ""fr"")"),"Gaz naturel conventionnel")</f>
        <v>Gaz naturel conventionnel</v>
      </c>
      <c r="EL872" s="1" t="s">
        <v>139</v>
      </c>
    </row>
    <row r="873" spans="1:142" ht="14.25" customHeight="1" x14ac:dyDescent="0.3">
      <c r="A873" s="1" t="s">
        <v>1015</v>
      </c>
      <c r="B873" s="1" t="str">
        <f ca="1">IFERROR(__xludf.DUMMYFUNCTION("GOOGLETRANSLATE(A873, ""en"", ""fr"")"),"devise convertible")</f>
        <v>devise convertible</v>
      </c>
      <c r="CR873" s="1" t="s">
        <v>93</v>
      </c>
    </row>
    <row r="874" spans="1:142" ht="14.25" customHeight="1" x14ac:dyDescent="0.3">
      <c r="A874" s="1" t="s">
        <v>1016</v>
      </c>
      <c r="B874" s="1" t="str">
        <f ca="1">IFERROR(__xludf.DUMMYFUNCTION("GOOGLETRANSLATE(A874, ""en"", ""fr"")"),"CONDAMNÉ")</f>
        <v>CONDAMNÉ</v>
      </c>
      <c r="D874" s="1" t="s">
        <v>4963</v>
      </c>
    </row>
    <row r="875" spans="1:142" ht="14.25" customHeight="1" x14ac:dyDescent="0.3">
      <c r="A875" s="1" t="s">
        <v>1017</v>
      </c>
      <c r="B875" s="1" t="str">
        <f ca="1">IFERROR(__xludf.DUMMYFUNCTION("GOOGLETRANSLATE(A875, ""en"", ""fr"")"),"CONDAMNÉ")</f>
        <v>CONDAMNÉ</v>
      </c>
      <c r="D875" s="1" t="s">
        <v>4963</v>
      </c>
    </row>
    <row r="876" spans="1:142" ht="14.25" customHeight="1" x14ac:dyDescent="0.3">
      <c r="A876" s="1" t="s">
        <v>1018</v>
      </c>
      <c r="B876" s="1" t="str">
        <f ca="1">IFERROR(__xludf.DUMMYFUNCTION("GOOGLETRANSLATE(A876, ""en"", ""fr"")"),"Condamné")</f>
        <v>Condamné</v>
      </c>
      <c r="D876" s="1" t="s">
        <v>4963</v>
      </c>
    </row>
    <row r="877" spans="1:142" ht="14.25" customHeight="1" x14ac:dyDescent="0.3">
      <c r="A877" s="1" t="s">
        <v>1019</v>
      </c>
      <c r="B877" s="1" t="str">
        <f ca="1">IFERROR(__xludf.DUMMYFUNCTION("GOOGLETRANSLATE(A877, ""en"", ""fr"")"),"CONVICTION")</f>
        <v>CONVICTION</v>
      </c>
      <c r="D877" s="1" t="s">
        <v>4963</v>
      </c>
    </row>
    <row r="878" spans="1:142" ht="14.25" customHeight="1" x14ac:dyDescent="0.3">
      <c r="A878" s="1" t="s">
        <v>1020</v>
      </c>
      <c r="B878" s="1" t="str">
        <f ca="1">IFERROR(__xludf.DUMMYFUNCTION("GOOGLETRANSLATE(A878, ""en"", ""fr"")"),"Convictions")</f>
        <v>Convictions</v>
      </c>
      <c r="D878" s="1" t="s">
        <v>4963</v>
      </c>
    </row>
    <row r="879" spans="1:142" ht="14.25" customHeight="1" x14ac:dyDescent="0.3">
      <c r="A879" s="1" t="s">
        <v>1021</v>
      </c>
      <c r="B879" s="1" t="str">
        <f ca="1">IFERROR(__xludf.DUMMYFUNCTION("GOOGLETRANSLATE(A879, ""en"", ""fr"")"),"Corrosion de la bande de cuivre")</f>
        <v>Corrosion de la bande de cuivre</v>
      </c>
      <c r="E879" s="1" t="s">
        <v>3</v>
      </c>
    </row>
    <row r="880" spans="1:142" ht="14.25" customHeight="1" x14ac:dyDescent="0.3">
      <c r="A880" s="1" t="s">
        <v>1022</v>
      </c>
      <c r="B880" s="1" t="str">
        <f ca="1">IFERROR(__xludf.DUMMYFUNCTION("GOOGLETRANSLATE(A880, ""en"", ""fr"")"),"CPI de base")</f>
        <v>CPI de base</v>
      </c>
      <c r="M880" s="1" t="s">
        <v>10</v>
      </c>
    </row>
    <row r="881" spans="1:97" ht="14.25" customHeight="1" x14ac:dyDescent="0.3">
      <c r="A881" s="1" t="s">
        <v>1023</v>
      </c>
      <c r="B881" s="1" t="str">
        <f ca="1">IFERROR(__xludf.DUMMYFUNCTION("GOOGLETRANSLATE(A881, ""en"", ""fr"")"),"PPI de base")</f>
        <v>PPI de base</v>
      </c>
      <c r="M881" s="1" t="s">
        <v>10</v>
      </c>
    </row>
    <row r="882" spans="1:97" ht="14.25" customHeight="1" x14ac:dyDescent="0.3">
      <c r="A882" s="1" t="s">
        <v>1024</v>
      </c>
      <c r="B882" s="1" t="str">
        <f ca="1">IFERROR(__xludf.DUMMYFUNCTION("GOOGLETRANSLATE(A882, ""en"", ""fr"")"),"Échantillon de base")</f>
        <v>Échantillon de base</v>
      </c>
      <c r="E882" s="1" t="s">
        <v>3</v>
      </c>
    </row>
    <row r="883" spans="1:97" ht="14.25" customHeight="1" x14ac:dyDescent="0.3">
      <c r="A883" s="1" t="s">
        <v>1025</v>
      </c>
      <c r="B883" s="1" t="str">
        <f ca="1">IFERROR(__xludf.DUMMYFUNCTION("GOOGLETRANSLATE(A883, ""en"", ""fr"")"),"CORRIGÉE")</f>
        <v>CORRIGÉE</v>
      </c>
      <c r="D883" s="1" t="s">
        <v>4963</v>
      </c>
    </row>
    <row r="884" spans="1:97" ht="14.25" customHeight="1" x14ac:dyDescent="0.3">
      <c r="A884" s="1" t="s">
        <v>1026</v>
      </c>
      <c r="B884" s="1" t="str">
        <f ca="1">IFERROR(__xludf.DUMMYFUNCTION("GOOGLETRANSLATE(A884, ""en"", ""fr"")"),"Correction")</f>
        <v>Correction</v>
      </c>
      <c r="D884" s="1" t="s">
        <v>4963</v>
      </c>
    </row>
    <row r="885" spans="1:97" ht="14.25" customHeight="1" x14ac:dyDescent="0.3">
      <c r="A885" s="1" t="s">
        <v>1027</v>
      </c>
      <c r="B885" s="1" t="str">
        <f ca="1">IFERROR(__xludf.DUMMYFUNCTION("GOOGLETRANSLATE(A885, ""en"", ""fr"")"),"CORRECTION")</f>
        <v>CORRECTION</v>
      </c>
      <c r="D885" s="1" t="s">
        <v>4963</v>
      </c>
    </row>
    <row r="886" spans="1:97" ht="14.25" customHeight="1" x14ac:dyDescent="0.3">
      <c r="A886" s="1" t="s">
        <v>1028</v>
      </c>
      <c r="B886" s="1" t="str">
        <f ca="1">IFERROR(__xludf.DUMMYFUNCTION("GOOGLETRANSLATE(A886, ""en"", ""fr"")"),"Correction")</f>
        <v>Correction</v>
      </c>
      <c r="D886" s="1" t="s">
        <v>4963</v>
      </c>
    </row>
    <row r="887" spans="1:97" ht="14.25" customHeight="1" x14ac:dyDescent="0.3">
      <c r="A887" s="1" t="s">
        <v>1029</v>
      </c>
      <c r="B887" s="1" t="str">
        <f ca="1">IFERROR(__xludf.DUMMYFUNCTION("GOOGLETRANSLATE(A887, ""en"", ""fr"")"),"Corriger")</f>
        <v>Corriger</v>
      </c>
      <c r="D887" s="1" t="s">
        <v>4963</v>
      </c>
    </row>
    <row r="888" spans="1:97" ht="14.25" customHeight="1" x14ac:dyDescent="0.3">
      <c r="A888" s="1" t="s">
        <v>1030</v>
      </c>
      <c r="B888" s="1" t="str">
        <f ca="1">IFERROR(__xludf.DUMMYFUNCTION("GOOGLETRANSLATE(A888, ""en"", ""fr"")"),"CORROMPU")</f>
        <v>CORROMPU</v>
      </c>
      <c r="D888" s="1" t="s">
        <v>4963</v>
      </c>
    </row>
    <row r="889" spans="1:97" ht="14.25" customHeight="1" x14ac:dyDescent="0.3">
      <c r="A889" s="1" t="s">
        <v>1031</v>
      </c>
      <c r="B889" s="1" t="str">
        <f ca="1">IFERROR(__xludf.DUMMYFUNCTION("GOOGLETRANSLATE(A889, ""en"", ""fr"")"),"Corrompu")</f>
        <v>Corrompu</v>
      </c>
      <c r="D889" s="1" t="s">
        <v>4963</v>
      </c>
    </row>
    <row r="890" spans="1:97" ht="14.25" customHeight="1" x14ac:dyDescent="0.3">
      <c r="A890" s="1" t="s">
        <v>1032</v>
      </c>
      <c r="B890" s="1" t="str">
        <f ca="1">IFERROR(__xludf.DUMMYFUNCTION("GOOGLETRANSLATE(A890, ""en"", ""fr"")"),"Corruption")</f>
        <v>Corruption</v>
      </c>
      <c r="D890" s="1" t="s">
        <v>4963</v>
      </c>
    </row>
    <row r="891" spans="1:97" ht="14.25" customHeight="1" x14ac:dyDescent="0.3">
      <c r="A891" s="1" t="s">
        <v>1033</v>
      </c>
      <c r="B891" s="1" t="str">
        <f ca="1">IFERROR(__xludf.DUMMYFUNCTION("GOOGLETRANSLATE(A891, ""en"", ""fr"")"),"LA CORRUPTION")</f>
        <v>LA CORRUPTION</v>
      </c>
      <c r="D891" s="1" t="s">
        <v>4963</v>
      </c>
    </row>
    <row r="892" spans="1:97" ht="14.25" customHeight="1" x14ac:dyDescent="0.3">
      <c r="A892" s="1" t="s">
        <v>1034</v>
      </c>
      <c r="B892" s="1" t="str">
        <f ca="1">IFERROR(__xludf.DUMMYFUNCTION("GOOGLETRANSLATE(A892, ""en"", ""fr"")"),"Corruption")</f>
        <v>Corruption</v>
      </c>
      <c r="D892" s="1" t="s">
        <v>4963</v>
      </c>
    </row>
    <row r="893" spans="1:97" ht="14.25" customHeight="1" x14ac:dyDescent="0.3">
      <c r="A893" s="1" t="s">
        <v>1035</v>
      </c>
      <c r="B893" s="1" t="str">
        <f ca="1">IFERROR(__xludf.DUMMYFUNCTION("GOOGLETRANSLATE(A893, ""en"", ""fr"")"),"Corrompu")</f>
        <v>Corrompu</v>
      </c>
      <c r="D893" s="1" t="s">
        <v>4963</v>
      </c>
    </row>
    <row r="894" spans="1:97" ht="14.25" customHeight="1" x14ac:dyDescent="0.3">
      <c r="A894" s="1" t="s">
        <v>1036</v>
      </c>
      <c r="B894" s="1" t="str">
        <f ca="1">IFERROR(__xludf.DUMMYFUNCTION("GOOGLETRANSLATE(A894, ""en"", ""fr"")"),"Corruption")</f>
        <v>Corruption</v>
      </c>
      <c r="D894" s="1" t="s">
        <v>4963</v>
      </c>
    </row>
    <row r="895" spans="1:97" ht="14.25" customHeight="1" x14ac:dyDescent="0.3">
      <c r="A895" s="1" t="s">
        <v>1037</v>
      </c>
      <c r="B895" s="1" t="str">
        <f ca="1">IFERROR(__xludf.DUMMYFUNCTION("GOOGLETRANSLATE(A895, ""en"", ""fr"")"),"cos")</f>
        <v>cos</v>
      </c>
      <c r="CR895" s="1" t="s">
        <v>93</v>
      </c>
    </row>
    <row r="896" spans="1:97" ht="14.25" customHeight="1" x14ac:dyDescent="0.3">
      <c r="A896" s="1" t="s">
        <v>1038</v>
      </c>
      <c r="B896" s="1" t="str">
        <f ca="1">IFERROR(__xludf.DUMMYFUNCTION("GOOGLETRANSLATE(A896, ""en"", ""fr"")"),"cosaque")</f>
        <v>cosaque</v>
      </c>
      <c r="R896" s="1" t="s">
        <v>15</v>
      </c>
      <c r="CS896" s="1" t="s">
        <v>94</v>
      </c>
    </row>
    <row r="897" spans="1:96" ht="14.25" customHeight="1" x14ac:dyDescent="0.3">
      <c r="A897" s="1" t="s">
        <v>1039</v>
      </c>
      <c r="B897" s="1" t="str">
        <f ca="1">IFERROR(__xludf.DUMMYFUNCTION("GOOGLETRANSLATE(A897, ""en"", ""fr"")"),"Coût des marchandises vendues")</f>
        <v>Coût des marchandises vendues</v>
      </c>
      <c r="CR897" s="1" t="s">
        <v>93</v>
      </c>
    </row>
    <row r="898" spans="1:96" ht="14.25" customHeight="1" x14ac:dyDescent="0.3">
      <c r="A898" s="1" t="s">
        <v>1040</v>
      </c>
      <c r="B898" s="1" t="str">
        <f ca="1">IFERROR(__xludf.DUMMYFUNCTION("GOOGLETRANSLATE(A898, ""en"", ""fr"")"),"ajustement du coût de la vie")</f>
        <v>ajustement du coût de la vie</v>
      </c>
      <c r="M898" s="1" t="s">
        <v>10</v>
      </c>
    </row>
    <row r="899" spans="1:96" ht="14.25" customHeight="1" x14ac:dyDescent="0.3">
      <c r="A899" s="1" t="s">
        <v>1041</v>
      </c>
      <c r="B899" s="1" t="str">
        <f ca="1">IFERROR(__xludf.DUMMYFUNCTION("GOOGLETRANSLATE(A899, ""en"", ""fr"")"),"coût des ventes")</f>
        <v>coût des ventes</v>
      </c>
      <c r="CR899" s="1" t="s">
        <v>93</v>
      </c>
    </row>
    <row r="900" spans="1:96" ht="14.25" customHeight="1" x14ac:dyDescent="0.3">
      <c r="A900" s="1" t="s">
        <v>1042</v>
      </c>
      <c r="B900" s="1" t="str">
        <f ca="1">IFERROR(__xludf.DUMMYFUNCTION("GOOGLETRANSLATE(A900, ""en"", ""fr"")"),"CHER")</f>
        <v>CHER</v>
      </c>
      <c r="D900" s="1" t="s">
        <v>4963</v>
      </c>
    </row>
    <row r="901" spans="1:96" ht="14.25" customHeight="1" x14ac:dyDescent="0.3">
      <c r="A901" s="1" t="s">
        <v>1043</v>
      </c>
      <c r="B901" s="1" t="str">
        <f ca="1">IFERROR(__xludf.DUMMYFUNCTION("GOOGLETRANSLATE(A901, ""en"", ""fr"")"),"indice du coût de la vie")</f>
        <v>indice du coût de la vie</v>
      </c>
      <c r="M901" s="1" t="s">
        <v>10</v>
      </c>
    </row>
    <row r="902" spans="1:96" ht="14.25" customHeight="1" x14ac:dyDescent="0.3">
      <c r="A902" s="1" t="s">
        <v>1044</v>
      </c>
      <c r="B902" s="1" t="str">
        <f ca="1">IFERROR(__xludf.DUMMYFUNCTION("GOOGLETRANSLATE(A902, ""en"", ""fr"")"),"inflation par les coûts")</f>
        <v>inflation par les coûts</v>
      </c>
      <c r="M902" s="1" t="s">
        <v>10</v>
      </c>
    </row>
    <row r="903" spans="1:96" ht="14.25" customHeight="1" x14ac:dyDescent="0.3">
      <c r="A903" s="1" t="s">
        <v>1045</v>
      </c>
      <c r="B903" s="1" t="str">
        <f ca="1">IFERROR(__xludf.DUMMYFUNCTION("GOOGLETRANSLATE(A903, ""en"", ""fr"")"),"pourrait")</f>
        <v>pourrait</v>
      </c>
      <c r="J903" s="1" t="s">
        <v>7</v>
      </c>
    </row>
    <row r="904" spans="1:96" ht="14.25" customHeight="1" x14ac:dyDescent="0.3">
      <c r="A904" s="1" t="s">
        <v>1046</v>
      </c>
      <c r="B904" s="1" t="str">
        <f ca="1">IFERROR(__xludf.DUMMYFUNCTION("GOOGLETRANSLATE(A904, ""en"", ""fr"")"),"Conseil des conseillers économiques")</f>
        <v>Conseil des conseillers économiques</v>
      </c>
      <c r="M904" s="1" t="s">
        <v>10</v>
      </c>
    </row>
    <row r="905" spans="1:96" ht="14.25" customHeight="1" x14ac:dyDescent="0.3">
      <c r="A905" s="1" t="s">
        <v>1047</v>
      </c>
      <c r="B905" s="1" t="str">
        <f ca="1">IFERROR(__xludf.DUMMYFUNCTION("GOOGLETRANSLATE(A905, ""en"", ""fr"")"),"Demande reconventionnelle")</f>
        <v>Demande reconventionnelle</v>
      </c>
      <c r="D905" s="1" t="s">
        <v>4963</v>
      </c>
    </row>
    <row r="906" spans="1:96" ht="14.25" customHeight="1" x14ac:dyDescent="0.3">
      <c r="A906" s="1" t="s">
        <v>1048</v>
      </c>
      <c r="B906" s="1" t="str">
        <f ca="1">IFERROR(__xludf.DUMMYFUNCTION("GOOGLETRANSLATE(A906, ""en"", ""fr"")"),"Demandes reconventionnelles")</f>
        <v>Demandes reconventionnelles</v>
      </c>
      <c r="D906" s="1" t="s">
        <v>4963</v>
      </c>
    </row>
    <row r="907" spans="1:96" ht="14.25" customHeight="1" x14ac:dyDescent="0.3">
      <c r="A907" s="1" t="s">
        <v>1049</v>
      </c>
      <c r="B907" s="1" t="str">
        <f ca="1">IFERROR(__xludf.DUMMYFUNCTION("GOOGLETRANSLATE(A907, ""en"", ""fr"")"),"Prélèvement")</f>
        <v>Prélèvement</v>
      </c>
      <c r="D907" s="1" t="s">
        <v>4963</v>
      </c>
    </row>
    <row r="908" spans="1:96" ht="14.25" customHeight="1" x14ac:dyDescent="0.3">
      <c r="A908" s="1" t="s">
        <v>1050</v>
      </c>
      <c r="B908" s="1" t="str">
        <f ca="1">IFERROR(__xludf.DUMMYFUNCTION("GOOGLETRANSLATE(A908, ""en"", ""fr"")"),"Reconvention")</f>
        <v>Reconvention</v>
      </c>
      <c r="D908" s="1" t="s">
        <v>4963</v>
      </c>
    </row>
    <row r="909" spans="1:96" ht="14.25" customHeight="1" x14ac:dyDescent="0.3">
      <c r="A909" s="1" t="s">
        <v>1051</v>
      </c>
      <c r="B909" s="1" t="str">
        <f ca="1">IFERROR(__xludf.DUMMYFUNCTION("GOOGLETRANSLATE(A909, ""en"", ""fr"")"),"contrecyclique")</f>
        <v>contrecyclique</v>
      </c>
      <c r="M909" s="1" t="s">
        <v>10</v>
      </c>
    </row>
    <row r="910" spans="1:96" ht="14.25" customHeight="1" x14ac:dyDescent="0.3">
      <c r="A910" s="1" t="s">
        <v>1052</v>
      </c>
      <c r="B910" s="1" t="str">
        <f ca="1">IFERROR(__xludf.DUMMYFUNCTION("GOOGLETRANSLATE(A910, ""en"", ""fr"")"),"stock contrecyclique")</f>
        <v>stock contrecyclique</v>
      </c>
      <c r="M910" s="1" t="s">
        <v>10</v>
      </c>
    </row>
    <row r="911" spans="1:96" ht="14.25" customHeight="1" x14ac:dyDescent="0.3">
      <c r="A911" s="1" t="s">
        <v>1053</v>
      </c>
      <c r="B911" s="1" t="str">
        <f ca="1">IFERROR(__xludf.DUMMYFUNCTION("GOOGLETRANSLATE(A911, ""en"", ""fr"")"),"CONTREFAIRE")</f>
        <v>CONTREFAIRE</v>
      </c>
      <c r="D911" s="1" t="s">
        <v>4963</v>
      </c>
    </row>
    <row r="912" spans="1:96" ht="14.25" customHeight="1" x14ac:dyDescent="0.3">
      <c r="A912" s="1" t="s">
        <v>1054</v>
      </c>
      <c r="B912" s="1" t="str">
        <f ca="1">IFERROR(__xludf.DUMMYFUNCTION("GOOGLETRANSLATE(A912, ""en"", ""fr"")"),"Contrefait")</f>
        <v>Contrefait</v>
      </c>
      <c r="D912" s="1" t="s">
        <v>4963</v>
      </c>
    </row>
    <row r="913" spans="1:136" ht="14.25" customHeight="1" x14ac:dyDescent="0.3">
      <c r="A913" s="1" t="s">
        <v>1055</v>
      </c>
      <c r="B913" s="1" t="str">
        <f ca="1">IFERROR(__xludf.DUMMYFUNCTION("GOOGLETRANSLATE(A913, ""en"", ""fr"")"),"FAUSSAIRE")</f>
        <v>FAUSSAIRE</v>
      </c>
      <c r="D913" s="1" t="s">
        <v>4963</v>
      </c>
    </row>
    <row r="914" spans="1:136" ht="14.25" customHeight="1" x14ac:dyDescent="0.3">
      <c r="A914" s="1" t="s">
        <v>1056</v>
      </c>
      <c r="B914" s="1" t="str">
        <f ca="1">IFERROR(__xludf.DUMMYFUNCTION("GOOGLETRANSLATE(A914, ""en"", ""fr"")"),"Contrefaçon")</f>
        <v>Contrefaçon</v>
      </c>
      <c r="D914" s="1" t="s">
        <v>4963</v>
      </c>
    </row>
    <row r="915" spans="1:136" ht="14.25" customHeight="1" x14ac:dyDescent="0.3">
      <c r="A915" s="1" t="s">
        <v>1057</v>
      </c>
      <c r="B915" s="1" t="str">
        <f ca="1">IFERROR(__xludf.DUMMYFUNCTION("GOOGLETRANSLATE(A915, ""en"", ""fr"")"),"Contrefaçon")</f>
        <v>Contrefaçon</v>
      </c>
      <c r="D915" s="1" t="s">
        <v>4963</v>
      </c>
    </row>
    <row r="916" spans="1:136" ht="14.25" customHeight="1" x14ac:dyDescent="0.3">
      <c r="A916" s="1" t="s">
        <v>1058</v>
      </c>
      <c r="B916" s="1" t="str">
        <f ca="1">IFERROR(__xludf.DUMMYFUNCTION("GOOGLETRANSLATE(A916, ""en"", ""fr"")"),"Contrefaçon")</f>
        <v>Contrefaçon</v>
      </c>
      <c r="D916" s="1" t="s">
        <v>4963</v>
      </c>
    </row>
    <row r="917" spans="1:136" ht="14.25" customHeight="1" x14ac:dyDescent="0.3">
      <c r="A917" s="1" t="s">
        <v>1059</v>
      </c>
      <c r="B917" s="1" t="str">
        <f ca="1">IFERROR(__xludf.DUMMYFUNCTION("GOOGLETRANSLATE(A917, ""en"", ""fr"")"),"Contre-mesure")</f>
        <v>Contre-mesure</v>
      </c>
      <c r="D917" s="1" t="s">
        <v>4963</v>
      </c>
    </row>
    <row r="918" spans="1:136" ht="14.25" customHeight="1" x14ac:dyDescent="0.3">
      <c r="A918" s="1" t="s">
        <v>1060</v>
      </c>
      <c r="B918" s="1" t="str">
        <f ca="1">IFERROR(__xludf.DUMMYFUNCTION("GOOGLETRANSLATE(A918, ""en"", ""fr"")"),"Contre-mesures")</f>
        <v>Contre-mesures</v>
      </c>
      <c r="D918" s="1" t="s">
        <v>4963</v>
      </c>
    </row>
    <row r="919" spans="1:136" ht="14.25" customHeight="1" x14ac:dyDescent="0.3">
      <c r="A919" s="1" t="s">
        <v>1061</v>
      </c>
      <c r="B919" s="1" t="str">
        <f ca="1">IFERROR(__xludf.DUMMYFUNCTION("GOOGLETRANSLATE(A919, ""en"", ""fr"")"),"COURTOIS")</f>
        <v>COURTOIS</v>
      </c>
      <c r="H919" s="1" t="s">
        <v>4964</v>
      </c>
    </row>
    <row r="920" spans="1:136" ht="14.25" customHeight="1" x14ac:dyDescent="0.3">
      <c r="A920" s="1" t="s">
        <v>1062</v>
      </c>
      <c r="B920" s="1" t="str">
        <f ca="1">IFERROR(__xludf.DUMMYFUNCTION("GOOGLETRANSLATE(A920, ""en"", ""fr"")"),"alliances")</f>
        <v>alliances</v>
      </c>
      <c r="CR920" s="1" t="s">
        <v>93</v>
      </c>
    </row>
    <row r="921" spans="1:136" ht="14.25" customHeight="1" x14ac:dyDescent="0.3">
      <c r="A921" s="1" t="s">
        <v>1063</v>
      </c>
      <c r="B921" s="1" t="str">
        <f ca="1">IFERROR(__xludf.DUMMYFUNCTION("GOOGLETRANSLATE(A921, ""en"", ""fr"")"),"option couverte")</f>
        <v>option couverte</v>
      </c>
      <c r="Q921" s="1" t="s">
        <v>14</v>
      </c>
      <c r="EF921" s="1" t="s">
        <v>133</v>
      </c>
    </row>
    <row r="922" spans="1:136" ht="14.25" customHeight="1" x14ac:dyDescent="0.3">
      <c r="A922" s="1" t="s">
        <v>1064</v>
      </c>
      <c r="B922" s="1" t="str">
        <f ca="1">IFERROR(__xludf.DUMMYFUNCTION("GOOGLETRANSLATE(A922, ""en"", ""fr"")"),"CPC")</f>
        <v>CPC</v>
      </c>
      <c r="AG922" s="1" t="s">
        <v>30</v>
      </c>
      <c r="BU922" s="1" t="s">
        <v>70</v>
      </c>
      <c r="DT922" s="1" t="s">
        <v>121</v>
      </c>
    </row>
    <row r="923" spans="1:136" ht="14.25" customHeight="1" x14ac:dyDescent="0.3">
      <c r="A923" s="1" t="s">
        <v>1065</v>
      </c>
      <c r="B923" s="1" t="str">
        <f ca="1">IFERROR(__xludf.DUMMYFUNCTION("GOOGLETRANSLATE(A923, ""en"", ""fr"")"),"Mélange CPC")</f>
        <v>Mélange CPC</v>
      </c>
      <c r="R923" s="1" t="s">
        <v>15</v>
      </c>
      <c r="CS923" s="1" t="s">
        <v>94</v>
      </c>
    </row>
    <row r="924" spans="1:136" ht="14.25" customHeight="1" x14ac:dyDescent="0.3">
      <c r="A924" s="1" t="s">
        <v>1066</v>
      </c>
      <c r="B924" s="1" t="str">
        <f ca="1">IFERROR(__xludf.DUMMYFUNCTION("GOOGLETRANSLATE(A924, ""en"", ""fr"")"),"CPI")</f>
        <v>CPI</v>
      </c>
      <c r="M924" s="1" t="s">
        <v>10</v>
      </c>
    </row>
    <row r="925" spans="1:136" ht="14.25" customHeight="1" x14ac:dyDescent="0.3">
      <c r="A925" s="1" t="s">
        <v>1067</v>
      </c>
      <c r="B925" s="1" t="str">
        <f ca="1">IFERROR(__xludf.DUMMYFUNCTION("GOOGLETRANSLATE(A925, ""en"", ""fr"")"),"fissure")</f>
        <v>fissure</v>
      </c>
      <c r="Q925" s="1" t="s">
        <v>14</v>
      </c>
      <c r="CS925" s="1" t="s">
        <v>94</v>
      </c>
      <c r="EF925" s="1" t="s">
        <v>133</v>
      </c>
    </row>
    <row r="926" spans="1:136" ht="14.25" customHeight="1" x14ac:dyDescent="0.3">
      <c r="A926" s="1" t="s">
        <v>1068</v>
      </c>
      <c r="B926" s="1" t="str">
        <f ca="1">IFERROR(__xludf.DUMMYFUNCTION("GOOGLETRANSLATE(A926, ""en"", ""fr"")"),"CRÉATIF")</f>
        <v>CRÉATIF</v>
      </c>
      <c r="H926" s="1" t="s">
        <v>4964</v>
      </c>
    </row>
    <row r="927" spans="1:136" ht="14.25" customHeight="1" x14ac:dyDescent="0.3">
      <c r="A927" s="1" t="s">
        <v>1069</v>
      </c>
      <c r="B927" s="1" t="str">
        <f ca="1">IFERROR(__xludf.DUMMYFUNCTION("GOOGLETRANSLATE(A927, ""en"", ""fr"")"),"destruction créative")</f>
        <v>destruction créative</v>
      </c>
      <c r="M927" s="1" t="s">
        <v>10</v>
      </c>
    </row>
    <row r="928" spans="1:136" ht="14.25" customHeight="1" x14ac:dyDescent="0.3">
      <c r="A928" s="1" t="s">
        <v>1070</v>
      </c>
      <c r="B928" s="1" t="str">
        <f ca="1">IFERROR(__xludf.DUMMYFUNCTION("GOOGLETRANSLATE(A928, ""en"", ""fr"")"),"De manière créative")</f>
        <v>De manière créative</v>
      </c>
      <c r="H928" s="1" t="s">
        <v>4964</v>
      </c>
    </row>
    <row r="929" spans="1:136" ht="14.25" customHeight="1" x14ac:dyDescent="0.3">
      <c r="A929" s="1" t="s">
        <v>1071</v>
      </c>
      <c r="B929" s="1" t="str">
        <f ca="1">IFERROR(__xludf.DUMMYFUNCTION("GOOGLETRANSLATE(A929, ""en"", ""fr"")"),"Créativité")</f>
        <v>Créativité</v>
      </c>
      <c r="H929" s="1" t="s">
        <v>4964</v>
      </c>
    </row>
    <row r="930" spans="1:136" ht="14.25" customHeight="1" x14ac:dyDescent="0.3">
      <c r="A930" s="1" t="s">
        <v>1072</v>
      </c>
      <c r="B930" s="1" t="str">
        <f ca="1">IFERROR(__xludf.DUMMYFUNCTION("GOOGLETRANSLATE(A930, ""en"", ""fr"")"),"LA CRÉATIVITÉ")</f>
        <v>LA CRÉATIVITÉ</v>
      </c>
      <c r="H930" s="1" t="s">
        <v>4964</v>
      </c>
    </row>
    <row r="931" spans="1:136" ht="14.25" customHeight="1" x14ac:dyDescent="0.3">
      <c r="A931" s="1" t="s">
        <v>1073</v>
      </c>
      <c r="B931" s="1" t="str">
        <f ca="1">IFERROR(__xludf.DUMMYFUNCTION("GOOGLETRANSLATE(A931, ""en"", ""fr"")"),"resserrement du crédit")</f>
        <v>resserrement du crédit</v>
      </c>
      <c r="AO931" s="1" t="s">
        <v>38</v>
      </c>
    </row>
    <row r="932" spans="1:136" ht="14.25" customHeight="1" x14ac:dyDescent="0.3">
      <c r="A932" s="1" t="s">
        <v>1074</v>
      </c>
      <c r="B932" s="1" t="str">
        <f ca="1">IFERROR(__xludf.DUMMYFUNCTION("GOOGLETRANSLATE(A932, ""en"", ""fr"")"),"dérivé du crédit")</f>
        <v>dérivé du crédit</v>
      </c>
      <c r="Q932" s="1" t="s">
        <v>14</v>
      </c>
      <c r="EF932" s="1" t="s">
        <v>133</v>
      </c>
    </row>
    <row r="933" spans="1:136" ht="14.25" customHeight="1" x14ac:dyDescent="0.3">
      <c r="A933" s="1" t="s">
        <v>1075</v>
      </c>
      <c r="B933" s="1" t="str">
        <f ca="1">IFERROR(__xludf.DUMMYFUNCTION("GOOGLETRANSLATE(A933, ""en"", ""fr"")"),"cote de crédit")</f>
        <v>cote de crédit</v>
      </c>
      <c r="CR933" s="1" t="s">
        <v>93</v>
      </c>
    </row>
    <row r="934" spans="1:136" ht="14.25" customHeight="1" x14ac:dyDescent="0.3">
      <c r="A934" s="1" t="s">
        <v>1076</v>
      </c>
      <c r="B934" s="1" t="str">
        <f ca="1">IFERROR(__xludf.DUMMYFUNCTION("GOOGLETRANSLATE(A934, ""en"", ""fr"")"),"le risque de crédit")</f>
        <v>le risque de crédit</v>
      </c>
      <c r="CR934" s="1" t="s">
        <v>93</v>
      </c>
      <c r="EF934" s="1" t="s">
        <v>133</v>
      </c>
    </row>
    <row r="935" spans="1:136" ht="14.25" customHeight="1" x14ac:dyDescent="0.3">
      <c r="A935" s="1" t="s">
        <v>1077</v>
      </c>
      <c r="B935" s="1" t="str">
        <f ca="1">IFERROR(__xludf.DUMMYFUNCTION("GOOGLETRANSLATE(A935, ""en"", ""fr"")"),"compensation de crédit")</f>
        <v>compensation de crédit</v>
      </c>
      <c r="M935" s="1" t="s">
        <v>10</v>
      </c>
    </row>
    <row r="936" spans="1:136" ht="14.25" customHeight="1" x14ac:dyDescent="0.3">
      <c r="A936" s="1" t="s">
        <v>1078</v>
      </c>
      <c r="B936" s="1" t="str">
        <f ca="1">IFERROR(__xludf.DUMMYFUNCTION("GOOGLETRANSLATE(A936, ""en"", ""fr"")"),"valeur de crédit à risque")</f>
        <v>valeur de crédit à risque</v>
      </c>
      <c r="CR936" s="1" t="s">
        <v>93</v>
      </c>
      <c r="EF936" s="1" t="s">
        <v>133</v>
      </c>
    </row>
    <row r="937" spans="1:136" ht="14.25" customHeight="1" x14ac:dyDescent="0.3">
      <c r="A937" s="1" t="s">
        <v>1079</v>
      </c>
      <c r="B937" s="1" t="str">
        <f ca="1">IFERROR(__xludf.DUMMYFUNCTION("GOOGLETRANSLATE(A937, ""en"", ""fr"")"),"CRIME")</f>
        <v>CRIME</v>
      </c>
      <c r="D937" s="1" t="s">
        <v>4963</v>
      </c>
    </row>
    <row r="938" spans="1:136" ht="14.25" customHeight="1" x14ac:dyDescent="0.3">
      <c r="A938" s="1" t="s">
        <v>1080</v>
      </c>
      <c r="B938" s="1" t="str">
        <f ca="1">IFERROR(__xludf.DUMMYFUNCTION("GOOGLETRANSLATE(A938, ""en"", ""fr"")"),"CRIMES")</f>
        <v>CRIMES</v>
      </c>
      <c r="D938" s="1" t="s">
        <v>4963</v>
      </c>
    </row>
    <row r="939" spans="1:136" ht="14.25" customHeight="1" x14ac:dyDescent="0.3">
      <c r="A939" s="1" t="s">
        <v>1081</v>
      </c>
      <c r="B939" s="1" t="str">
        <f ca="1">IFERROR(__xludf.DUMMYFUNCTION("GOOGLETRANSLATE(A939, ""en"", ""fr"")"),"CRIMINEL")</f>
        <v>CRIMINEL</v>
      </c>
      <c r="D939" s="1" t="s">
        <v>4963</v>
      </c>
    </row>
    <row r="940" spans="1:136" ht="14.25" customHeight="1" x14ac:dyDescent="0.3">
      <c r="A940" s="1" t="s">
        <v>1082</v>
      </c>
      <c r="B940" s="1" t="str">
        <f ca="1">IFERROR(__xludf.DUMMYFUNCTION("GOOGLETRANSLATE(A940, ""en"", ""fr"")"),"Criminellement")</f>
        <v>Criminellement</v>
      </c>
      <c r="D940" s="1" t="s">
        <v>4963</v>
      </c>
    </row>
    <row r="941" spans="1:136" ht="14.25" customHeight="1" x14ac:dyDescent="0.3">
      <c r="A941" s="1" t="s">
        <v>1083</v>
      </c>
      <c r="B941" s="1" t="str">
        <f ca="1">IFERROR(__xludf.DUMMYFUNCTION("GOOGLETRANSLATE(A941, ""en"", ""fr"")"),"LES CRIMINELS")</f>
        <v>LES CRIMINELS</v>
      </c>
      <c r="D941" s="1" t="s">
        <v>4963</v>
      </c>
    </row>
    <row r="942" spans="1:136" ht="14.25" customHeight="1" x14ac:dyDescent="0.3">
      <c r="A942" s="1" t="s">
        <v>1084</v>
      </c>
      <c r="B942" s="1" t="str">
        <f ca="1">IFERROR(__xludf.DUMMYFUNCTION("GOOGLETRANSLATE(A942, ""en"", ""fr"")"),"Crises")</f>
        <v>Crises</v>
      </c>
      <c r="D942" s="1" t="s">
        <v>4963</v>
      </c>
    </row>
    <row r="943" spans="1:136" ht="14.25" customHeight="1" x14ac:dyDescent="0.3">
      <c r="A943" s="1" t="s">
        <v>1085</v>
      </c>
      <c r="B943" s="1" t="str">
        <f ca="1">IFERROR(__xludf.DUMMYFUNCTION("GOOGLETRANSLATE(A943, ""en"", ""fr"")"),"CRISE")</f>
        <v>CRISE</v>
      </c>
      <c r="D943" s="1" t="s">
        <v>4963</v>
      </c>
    </row>
    <row r="944" spans="1:136" ht="14.25" customHeight="1" x14ac:dyDescent="0.3">
      <c r="A944" s="1" t="s">
        <v>1086</v>
      </c>
      <c r="B944" s="1" t="str">
        <f ca="1">IFERROR(__xludf.DUMMYFUNCTION("GOOGLETRANSLATE(A944, ""en"", ""fr"")"),"CRITIQUE")</f>
        <v>CRITIQUE</v>
      </c>
      <c r="D944" s="1" t="s">
        <v>4963</v>
      </c>
    </row>
    <row r="945" spans="1:142" ht="14.25" customHeight="1" x14ac:dyDescent="0.3">
      <c r="A945" s="1" t="s">
        <v>1087</v>
      </c>
      <c r="B945" s="1" t="str">
        <f ca="1">IFERROR(__xludf.DUMMYFUNCTION("GOOGLETRANSLATE(A945, ""en"", ""fr"")"),"De manière critique")</f>
        <v>De manière critique</v>
      </c>
      <c r="D945" s="1" t="s">
        <v>4963</v>
      </c>
    </row>
    <row r="946" spans="1:142" ht="14.25" customHeight="1" x14ac:dyDescent="0.3">
      <c r="A946" s="1" t="s">
        <v>1088</v>
      </c>
      <c r="B946" s="1" t="str">
        <f ca="1">IFERROR(__xludf.DUMMYFUNCTION("GOOGLETRANSLATE(A946, ""en"", ""fr"")"),"CRITIQUE")</f>
        <v>CRITIQUE</v>
      </c>
      <c r="D946" s="1" t="s">
        <v>4963</v>
      </c>
    </row>
    <row r="947" spans="1:142" ht="14.25" customHeight="1" x14ac:dyDescent="0.3">
      <c r="A947" s="1" t="s">
        <v>1089</v>
      </c>
      <c r="B947" s="1" t="str">
        <f ca="1">IFERROR(__xludf.DUMMYFUNCTION("GOOGLETRANSLATE(A947, ""en"", ""fr"")"),"DES REPROCHES")</f>
        <v>DES REPROCHES</v>
      </c>
      <c r="D947" s="1" t="s">
        <v>4963</v>
      </c>
    </row>
    <row r="948" spans="1:142" ht="14.25" customHeight="1" x14ac:dyDescent="0.3">
      <c r="A948" s="1" t="s">
        <v>1090</v>
      </c>
      <c r="B948" s="1" t="str">
        <f ca="1">IFERROR(__xludf.DUMMYFUNCTION("GOOGLETRANSLATE(A948, ""en"", ""fr"")"),"CRITIQUER")</f>
        <v>CRITIQUER</v>
      </c>
      <c r="D948" s="1" t="s">
        <v>4963</v>
      </c>
    </row>
    <row r="949" spans="1:142" ht="14.25" customHeight="1" x14ac:dyDescent="0.3">
      <c r="A949" s="1" t="s">
        <v>1091</v>
      </c>
      <c r="B949" s="1" t="str">
        <f ca="1">IFERROR(__xludf.DUMMYFUNCTION("GOOGLETRANSLATE(A949, ""en"", ""fr"")"),"Critiqué")</f>
        <v>Critiqué</v>
      </c>
      <c r="D949" s="1" t="s">
        <v>4963</v>
      </c>
    </row>
    <row r="950" spans="1:142" ht="14.25" customHeight="1" x14ac:dyDescent="0.3">
      <c r="A950" s="1" t="s">
        <v>1092</v>
      </c>
      <c r="B950" s="1" t="str">
        <f ca="1">IFERROR(__xludf.DUMMYFUNCTION("GOOGLETRANSLATE(A950, ""en"", ""fr"")"),"Critique")</f>
        <v>Critique</v>
      </c>
      <c r="D950" s="1" t="s">
        <v>4963</v>
      </c>
    </row>
    <row r="951" spans="1:142" ht="14.25" customHeight="1" x14ac:dyDescent="0.3">
      <c r="A951" s="1" t="s">
        <v>1093</v>
      </c>
      <c r="B951" s="1" t="str">
        <f ca="1">IFERROR(__xludf.DUMMYFUNCTION("GOOGLETRANSLATE(A951, ""en"", ""fr"")"),"Critication")</f>
        <v>Critication</v>
      </c>
      <c r="D951" s="1" t="s">
        <v>4963</v>
      </c>
    </row>
    <row r="952" spans="1:142" ht="14.25" customHeight="1" x14ac:dyDescent="0.3">
      <c r="A952" s="1" t="s">
        <v>1094</v>
      </c>
      <c r="B952" s="1" t="str">
        <f ca="1">IFERROR(__xludf.DUMMYFUNCTION("GOOGLETRANSLATE(A952, ""en"", ""fr"")"),"commerce transfrontalier")</f>
        <v>commerce transfrontalier</v>
      </c>
      <c r="G952" s="1" t="s">
        <v>5</v>
      </c>
      <c r="CR952" s="1" t="s">
        <v>93</v>
      </c>
      <c r="EF952" s="1" t="s">
        <v>133</v>
      </c>
    </row>
    <row r="953" spans="1:142" ht="14.25" customHeight="1" x14ac:dyDescent="0.3">
      <c r="A953" s="1" t="s">
        <v>1095</v>
      </c>
      <c r="B953" s="1" t="str">
        <f ca="1">IFERROR(__xludf.DUMMYFUNCTION("GOOGLETRANSLATE(A953, ""en"", ""fr"")"),"encombrer")</f>
        <v>encombrer</v>
      </c>
      <c r="M953" s="1" t="s">
        <v>10</v>
      </c>
    </row>
    <row r="954" spans="1:142" ht="14.25" customHeight="1" x14ac:dyDescent="0.3">
      <c r="A954" s="1" t="s">
        <v>1096</v>
      </c>
      <c r="B954" s="1" t="str">
        <f ca="1">IFERROR(__xludf.DUMMYFUNCTION("GOOGLETRANSLATE(A954, ""en"", ""fr"")"),"CRP")</f>
        <v>CRP</v>
      </c>
      <c r="BZ954" s="1" t="s">
        <v>75</v>
      </c>
      <c r="DA954" s="1" t="s">
        <v>102</v>
      </c>
      <c r="DT954" s="1" t="s">
        <v>121</v>
      </c>
    </row>
    <row r="955" spans="1:142" ht="14.25" customHeight="1" x14ac:dyDescent="0.3">
      <c r="A955" s="1" t="s">
        <v>1097</v>
      </c>
      <c r="B955" s="1" t="str">
        <f ca="1">IFERROR(__xludf.DUMMYFUNCTION("GOOGLETRANSLATE(A955, ""en"", ""fr"")"),"CRUCIAL")</f>
        <v>CRUCIAL</v>
      </c>
      <c r="D955" s="1" t="s">
        <v>4963</v>
      </c>
    </row>
    <row r="956" spans="1:142" ht="14.25" customHeight="1" x14ac:dyDescent="0.3">
      <c r="A956" s="1" t="s">
        <v>1098</v>
      </c>
      <c r="B956" s="1" t="str">
        <f ca="1">IFERROR(__xludf.DUMMYFUNCTION("GOOGLETRANSLATE(A956, ""en"", ""fr"")"),"Surtout")</f>
        <v>Surtout</v>
      </c>
      <c r="D956" s="1" t="s">
        <v>4963</v>
      </c>
    </row>
    <row r="957" spans="1:142" ht="14.25" customHeight="1" x14ac:dyDescent="0.3">
      <c r="A957" s="1" t="s">
        <v>1099</v>
      </c>
      <c r="B957" s="1" t="str">
        <f ca="1">IFERROR(__xludf.DUMMYFUNCTION("GOOGLETRANSLATE(A957, ""en"", ""fr"")"),"brut")</f>
        <v>brut</v>
      </c>
      <c r="M957" s="1" t="s">
        <v>10</v>
      </c>
      <c r="EL957" s="1" t="s">
        <v>139</v>
      </c>
    </row>
    <row r="958" spans="1:142" ht="14.25" customHeight="1" x14ac:dyDescent="0.3">
      <c r="A958" s="1" t="s">
        <v>1100</v>
      </c>
      <c r="B958" s="1" t="str">
        <f ca="1">IFERROR(__xludf.DUMMYFUNCTION("GOOGLETRANSLATE(A958, ""en"", ""fr"")"),"Bitume brut")</f>
        <v>Bitume brut</v>
      </c>
      <c r="EL958" s="1" t="s">
        <v>139</v>
      </c>
    </row>
    <row r="959" spans="1:142" ht="14.25" customHeight="1" x14ac:dyDescent="0.3">
      <c r="A959" s="1" t="s">
        <v>1101</v>
      </c>
      <c r="B959" s="1" t="str">
        <f ca="1">IFERROR(__xludf.DUMMYFUNCTION("GOOGLETRANSLATE(A959, ""en"", ""fr"")"),"Batterie de groupe de bitume brut")</f>
        <v>Batterie de groupe de bitume brut</v>
      </c>
      <c r="E959" s="1" t="s">
        <v>3</v>
      </c>
    </row>
    <row r="960" spans="1:142" ht="14.25" customHeight="1" x14ac:dyDescent="0.3">
      <c r="A960" s="1" t="s">
        <v>1102</v>
      </c>
      <c r="B960" s="1" t="str">
        <f ca="1">IFERROR(__xludf.DUMMYFUNCTION("GOOGLETRANSLATE(A960, ""en"", ""fr"")"),"Proration du bitume brut")</f>
        <v>Proration du bitume brut</v>
      </c>
      <c r="E960" s="1" t="s">
        <v>3</v>
      </c>
    </row>
    <row r="961" spans="1:142" ht="14.25" customHeight="1" x14ac:dyDescent="0.3">
      <c r="A961" s="1" t="s">
        <v>1103</v>
      </c>
      <c r="B961" s="1" t="str">
        <f ca="1">IFERROR(__xludf.DUMMYFUNCTION("GOOGLETRANSLATE(A961, ""en"", ""fr"")"),"Batterie satellite de bitume brut")</f>
        <v>Batterie satellite de bitume brut</v>
      </c>
      <c r="E961" s="1" t="s">
        <v>3</v>
      </c>
    </row>
    <row r="962" spans="1:142" ht="14.25" customHeight="1" x14ac:dyDescent="0.3">
      <c r="A962" s="1" t="s">
        <v>1104</v>
      </c>
      <c r="B962" s="1" t="str">
        <f ca="1">IFERROR(__xludf.DUMMYFUNCTION("GOOGLETRANSLATE(A962, ""en"", ""fr"")"),"Batterie unique de bitume brut")</f>
        <v>Batterie unique de bitume brut</v>
      </c>
      <c r="E962" s="1" t="s">
        <v>3</v>
      </c>
    </row>
    <row r="963" spans="1:142" ht="14.25" customHeight="1" x14ac:dyDescent="0.3">
      <c r="A963" s="1" t="s">
        <v>1105</v>
      </c>
      <c r="B963" s="1" t="str">
        <f ca="1">IFERROR(__xludf.DUMMYFUNCTION("GOOGLETRANSLATE(A963, ""en"", ""fr"")"),"huile brute")</f>
        <v>huile brute</v>
      </c>
      <c r="EL963" s="1" t="s">
        <v>139</v>
      </c>
    </row>
    <row r="964" spans="1:142" ht="14.25" customHeight="1" x14ac:dyDescent="0.3">
      <c r="A964" s="1" t="s">
        <v>1106</v>
      </c>
      <c r="B964" s="1" t="str">
        <f ca="1">IFERROR(__xludf.DUMMYFUNCTION("GOOGLETRANSLATE(A964, ""en"", ""fr"")"),"Batterie de pétrole brut")</f>
        <v>Batterie de pétrole brut</v>
      </c>
      <c r="E964" s="1" t="s">
        <v>3</v>
      </c>
    </row>
    <row r="965" spans="1:142" ht="14.25" customHeight="1" x14ac:dyDescent="0.3">
      <c r="A965" s="1" t="s">
        <v>1107</v>
      </c>
      <c r="B965" s="1" t="str">
        <f ca="1">IFERROR(__xludf.DUMMYFUNCTION("GOOGLETRANSLATE(A965, ""en"", ""fr"")"),"Batterie de groupe de pétrole brut")</f>
        <v>Batterie de groupe de pétrole brut</v>
      </c>
      <c r="E965" s="1" t="s">
        <v>3</v>
      </c>
    </row>
    <row r="966" spans="1:142" ht="14.25" customHeight="1" x14ac:dyDescent="0.3">
      <c r="A966" s="1" t="s">
        <v>1108</v>
      </c>
      <c r="B966" s="1" t="str">
        <f ca="1">IFERROR(__xludf.DUMMYFUNCTION("GOOGLETRANSLATE(A966, ""en"", ""fr"")"),"Pertes de pétrole brut")</f>
        <v>Pertes de pétrole brut</v>
      </c>
      <c r="EL966" s="1" t="s">
        <v>139</v>
      </c>
    </row>
    <row r="967" spans="1:142" ht="14.25" customHeight="1" x14ac:dyDescent="0.3">
      <c r="A967" s="1" t="s">
        <v>1109</v>
      </c>
      <c r="B967" s="1" t="str">
        <f ca="1">IFERROR(__xludf.DUMMYFUNCTION("GOOGLETRANSLATE(A967, ""en"", ""fr"")"),"Batterie de proration de pétrole brut")</f>
        <v>Batterie de proration de pétrole brut</v>
      </c>
      <c r="E967" s="1" t="s">
        <v>3</v>
      </c>
    </row>
    <row r="968" spans="1:142" ht="14.25" customHeight="1" x14ac:dyDescent="0.3">
      <c r="A968" s="1" t="s">
        <v>1110</v>
      </c>
      <c r="B968" s="1" t="str">
        <f ca="1">IFERROR(__xludf.DUMMYFUNCTION("GOOGLETRANSLATE(A968, ""en"", ""fr"")"),"Batterie par satellite de pétrole brut")</f>
        <v>Batterie par satellite de pétrole brut</v>
      </c>
      <c r="E968" s="1" t="s">
        <v>3</v>
      </c>
    </row>
    <row r="969" spans="1:142" ht="14.25" customHeight="1" x14ac:dyDescent="0.3">
      <c r="A969" s="1" t="s">
        <v>1111</v>
      </c>
      <c r="B969" s="1" t="str">
        <f ca="1">IFERROR(__xludf.DUMMYFUNCTION("GOOGLETRANSLATE(A969, ""en"", ""fr"")"),"Batterie unique à huile brute")</f>
        <v>Batterie unique à huile brute</v>
      </c>
      <c r="E969" s="1" t="s">
        <v>3</v>
      </c>
    </row>
    <row r="970" spans="1:142" ht="14.25" customHeight="1" x14ac:dyDescent="0.3">
      <c r="A970" s="1" t="s">
        <v>1112</v>
      </c>
      <c r="B970" s="1" t="str">
        <f ca="1">IFERROR(__xludf.DUMMYFUNCTION("GOOGLETRANSLATE(A970, ""en"", ""fr"")"),"ctfc")</f>
        <v>ctfc</v>
      </c>
      <c r="G970" s="1" t="s">
        <v>5</v>
      </c>
      <c r="CR970" s="1" t="s">
        <v>93</v>
      </c>
    </row>
    <row r="971" spans="1:142" ht="14.25" customHeight="1" x14ac:dyDescent="0.3">
      <c r="A971" s="1" t="s">
        <v>1113</v>
      </c>
      <c r="B971" s="1" t="str">
        <f ca="1">IFERROR(__xludf.DUMMYFUNCTION("GOOGLETRANSLATE(A971, ""en"", ""fr"")"),"CULPABILITÉ")</f>
        <v>CULPABILITÉ</v>
      </c>
      <c r="D971" s="1" t="s">
        <v>4963</v>
      </c>
    </row>
    <row r="972" spans="1:142" ht="14.25" customHeight="1" x14ac:dyDescent="0.3">
      <c r="A972" s="1" t="s">
        <v>1114</v>
      </c>
      <c r="B972" s="1" t="str">
        <f ca="1">IFERROR(__xludf.DUMMYFUNCTION("GOOGLETRANSLATE(A972, ""en"", ""fr"")"),"COUPABLE")</f>
        <v>COUPABLE</v>
      </c>
      <c r="D972" s="1" t="s">
        <v>4963</v>
      </c>
    </row>
    <row r="973" spans="1:142" ht="14.25" customHeight="1" x14ac:dyDescent="0.3">
      <c r="A973" s="1" t="s">
        <v>1115</v>
      </c>
      <c r="B973" s="1" t="str">
        <f ca="1">IFERROR(__xludf.DUMMYFUNCTION("GOOGLETRANSLATE(A973, ""en"", ""fr"")"),"Sans coup sûr")</f>
        <v>Sans coup sûr</v>
      </c>
      <c r="D973" s="1" t="s">
        <v>4963</v>
      </c>
    </row>
    <row r="974" spans="1:142" ht="14.25" customHeight="1" x14ac:dyDescent="0.3">
      <c r="A974" s="1" t="s">
        <v>1116</v>
      </c>
      <c r="B974" s="1" t="str">
        <f ca="1">IFERROR(__xludf.DUMMYFUNCTION("GOOGLETRANSLATE(A974, ""en"", ""fr"")"),"interrupteur de culpèvre")</f>
        <v>interrupteur de culpèvre</v>
      </c>
      <c r="M974" s="1" t="s">
        <v>10</v>
      </c>
    </row>
    <row r="975" spans="1:142" ht="14.25" customHeight="1" x14ac:dyDescent="0.3">
      <c r="A975" s="1" t="s">
        <v>1117</v>
      </c>
      <c r="B975" s="1" t="str">
        <f ca="1">IFERROR(__xludf.DUMMYFUNCTION("GOOGLETRANSLATE(A975, ""en"", ""fr"")"),"LOURD")</f>
        <v>LOURD</v>
      </c>
      <c r="D975" s="1" t="s">
        <v>4963</v>
      </c>
    </row>
    <row r="976" spans="1:142" ht="14.25" customHeight="1" x14ac:dyDescent="0.3">
      <c r="A976" s="1" t="s">
        <v>1118</v>
      </c>
      <c r="B976" s="1" t="str">
        <f ca="1">IFERROR(__xludf.DUMMYFUNCTION("GOOGLETRANSLATE(A976, ""en"", ""fr"")"),"Cupigua / Cusiana")</f>
        <v>Cupigua / Cusiana</v>
      </c>
      <c r="AX976" s="1" t="s">
        <v>47</v>
      </c>
      <c r="DD976" s="1" t="s">
        <v>105</v>
      </c>
      <c r="EG976" s="1" t="s">
        <v>134</v>
      </c>
    </row>
    <row r="977" spans="1:142" ht="14.25" customHeight="1" x14ac:dyDescent="0.3">
      <c r="A977" s="1" t="s">
        <v>1119</v>
      </c>
      <c r="B977" s="1" t="str">
        <f ca="1">IFERROR(__xludf.DUMMYFUNCTION("GOOGLETRANSLATE(A977, ""en"", ""fr"")"),"compte courant")</f>
        <v>compte courant</v>
      </c>
      <c r="M977" s="1" t="s">
        <v>10</v>
      </c>
    </row>
    <row r="978" spans="1:142" ht="14.25" customHeight="1" x14ac:dyDescent="0.3">
      <c r="A978" s="1" t="s">
        <v>1120</v>
      </c>
      <c r="B978" s="1" t="str">
        <f ca="1">IFERROR(__xludf.DUMMYFUNCTION("GOOGLETRANSLATE(A978, ""en"", ""fr"")"),"solde du compte courant")</f>
        <v>solde du compte courant</v>
      </c>
      <c r="M978" s="1" t="s">
        <v>10</v>
      </c>
    </row>
    <row r="979" spans="1:142" ht="14.25" customHeight="1" x14ac:dyDescent="0.3">
      <c r="A979" s="1" t="s">
        <v>1121</v>
      </c>
      <c r="B979" s="1" t="str">
        <f ca="1">IFERROR(__xludf.DUMMYFUNCTION("GOOGLETRANSLATE(A979, ""en"", ""fr"")"),"actifs actuels")</f>
        <v>actifs actuels</v>
      </c>
      <c r="CR979" s="1" t="s">
        <v>93</v>
      </c>
    </row>
    <row r="980" spans="1:142" ht="14.25" customHeight="1" x14ac:dyDescent="0.3">
      <c r="A980" s="1" t="s">
        <v>1122</v>
      </c>
      <c r="B980" s="1" t="str">
        <f ca="1">IFERROR(__xludf.DUMMYFUNCTION("GOOGLETRANSLATE(A980, ""en"", ""fr"")"),"PIB en dollars actuels")</f>
        <v>PIB en dollars actuels</v>
      </c>
      <c r="M980" s="1" t="s">
        <v>10</v>
      </c>
    </row>
    <row r="981" spans="1:142" ht="14.25" customHeight="1" x14ac:dyDescent="0.3">
      <c r="A981" s="1" t="s">
        <v>1123</v>
      </c>
      <c r="B981" s="1" t="str">
        <f ca="1">IFERROR(__xludf.DUMMYFUNCTION("GOOGLETRANSLATE(A981, ""en"", ""fr"")"),"dollars actuels")</f>
        <v>dollars actuels</v>
      </c>
      <c r="M981" s="1" t="s">
        <v>10</v>
      </c>
    </row>
    <row r="982" spans="1:142" ht="14.25" customHeight="1" x14ac:dyDescent="0.3">
      <c r="A982" s="1" t="s">
        <v>1124</v>
      </c>
      <c r="B982" s="1" t="str">
        <f ca="1">IFERROR(__xludf.DUMMYFUNCTION("GOOGLETRANSLATE(A982, ""en"", ""fr"")"),"passifs actuels")</f>
        <v>passifs actuels</v>
      </c>
      <c r="CR982" s="1" t="s">
        <v>93</v>
      </c>
    </row>
    <row r="983" spans="1:142" ht="14.25" customHeight="1" x14ac:dyDescent="0.3">
      <c r="A983" s="1" t="s">
        <v>1125</v>
      </c>
      <c r="B983" s="1" t="str">
        <f ca="1">IFERROR(__xludf.DUMMYFUNCTION("GOOGLETRANSLATE(A983, ""en"", ""fr"")"),"Ratio actuel")</f>
        <v>Ratio actuel</v>
      </c>
      <c r="CR983" s="1" t="s">
        <v>93</v>
      </c>
    </row>
    <row r="984" spans="1:142" ht="14.25" customHeight="1" x14ac:dyDescent="0.3">
      <c r="A984" s="1" t="s">
        <v>1126</v>
      </c>
      <c r="B984" s="1" t="str">
        <f ca="1">IFERROR(__xludf.DUMMYFUNCTION("GOOGLETRANSLATE(A984, ""en"", ""fr"")"),"RÉDUIRE")</f>
        <v>RÉDUIRE</v>
      </c>
      <c r="D984" s="1" t="s">
        <v>4963</v>
      </c>
    </row>
    <row r="985" spans="1:142" ht="14.25" customHeight="1" x14ac:dyDescent="0.3">
      <c r="A985" s="1" t="s">
        <v>1127</v>
      </c>
      <c r="B985" s="1" t="str">
        <f ca="1">IFERROR(__xludf.DUMMYFUNCTION("GOOGLETRANSLATE(A985, ""en"", ""fr"")"),"Réduit")</f>
        <v>Réduit</v>
      </c>
      <c r="D985" s="1" t="s">
        <v>4963</v>
      </c>
    </row>
    <row r="986" spans="1:142" ht="14.25" customHeight="1" x14ac:dyDescent="0.3">
      <c r="A986" s="1" t="s">
        <v>1128</v>
      </c>
      <c r="B986" s="1" t="str">
        <f ca="1">IFERROR(__xludf.DUMMYFUNCTION("GOOGLETRANSLATE(A986, ""en"", ""fr"")"),"Réduisant")</f>
        <v>Réduisant</v>
      </c>
      <c r="D986" s="1" t="s">
        <v>4963</v>
      </c>
    </row>
    <row r="987" spans="1:142" ht="14.25" customHeight="1" x14ac:dyDescent="0.3">
      <c r="A987" s="1" t="s">
        <v>1129</v>
      </c>
      <c r="B987" s="1" t="str">
        <f ca="1">IFERROR(__xludf.DUMMYFUNCTION("GOOGLETRANSLATE(A987, ""en"", ""fr"")"),"RÉDUCTION")</f>
        <v>RÉDUCTION</v>
      </c>
      <c r="D987" s="1" t="s">
        <v>4963</v>
      </c>
    </row>
    <row r="988" spans="1:142" ht="14.25" customHeight="1" x14ac:dyDescent="0.3">
      <c r="A988" s="1" t="s">
        <v>1130</v>
      </c>
      <c r="B988" s="1" t="str">
        <f ca="1">IFERROR(__xludf.DUMMYFUNCTION("GOOGLETRANSLATE(A988, ""en"", ""fr"")"),"Réduction")</f>
        <v>Réduction</v>
      </c>
      <c r="D988" s="1" t="s">
        <v>4963</v>
      </c>
    </row>
    <row r="989" spans="1:142" ht="14.25" customHeight="1" x14ac:dyDescent="0.3">
      <c r="A989" s="1" t="s">
        <v>1131</v>
      </c>
      <c r="B989" s="1" t="str">
        <f ca="1">IFERROR(__xludf.DUMMYFUNCTION("GOOGLETRANSLATE(A989, ""en"", ""fr"")"),"Réduire")</f>
        <v>Réduire</v>
      </c>
      <c r="D989" s="1" t="s">
        <v>4963</v>
      </c>
    </row>
    <row r="990" spans="1:142" ht="14.25" customHeight="1" x14ac:dyDescent="0.3">
      <c r="A990" s="1" t="s">
        <v>1132</v>
      </c>
      <c r="B990" s="1" t="str">
        <f ca="1">IFERROR(__xludf.DUMMYFUNCTION("GOOGLETRANSLATE(A990, ""en"", ""fr"")"),"Cusiana")</f>
        <v>Cusiana</v>
      </c>
      <c r="R990" s="1" t="s">
        <v>15</v>
      </c>
      <c r="CS990" s="1" t="s">
        <v>94</v>
      </c>
    </row>
    <row r="991" spans="1:142" ht="14.25" customHeight="1" x14ac:dyDescent="0.3">
      <c r="A991" s="1" t="s">
        <v>1133</v>
      </c>
      <c r="B991" s="1" t="str">
        <f ca="1">IFERROR(__xludf.DUMMYFUNCTION("GOOGLETRANSLATE(A991, ""en"", ""fr"")"),"Point de transfert de garde")</f>
        <v>Point de transfert de garde</v>
      </c>
      <c r="EL991" s="1" t="s">
        <v>139</v>
      </c>
    </row>
    <row r="992" spans="1:142" ht="14.25" customHeight="1" x14ac:dyDescent="0.3">
      <c r="A992" s="1" t="s">
        <v>1134</v>
      </c>
      <c r="B992" s="1" t="str">
        <f ca="1">IFERROR(__xludf.DUMMYFUNCTION("GOOGLETRANSLATE(A992, ""en"", ""fr"")"),"Usine de traitement personnalisé")</f>
        <v>Usine de traitement personnalisé</v>
      </c>
      <c r="E992" s="1" t="s">
        <v>3</v>
      </c>
    </row>
    <row r="993" spans="1:146" ht="14.25" customHeight="1" x14ac:dyDescent="0.3">
      <c r="A993" s="1" t="s">
        <v>1135</v>
      </c>
      <c r="B993" s="1" t="str">
        <f ca="1">IFERROR(__xludf.DUMMYFUNCTION("GOOGLETRANSLATE(A993, ""en"", ""fr"")"),"client")</f>
        <v>client</v>
      </c>
      <c r="M993" s="1" t="s">
        <v>10</v>
      </c>
    </row>
    <row r="994" spans="1:146" ht="14.25" customHeight="1" x14ac:dyDescent="0.3">
      <c r="A994" s="1" t="s">
        <v>1136</v>
      </c>
      <c r="B994" s="1" t="str">
        <f ca="1">IFERROR(__xludf.DUMMYFUNCTION("GOOGLETRANSLATE(A994, ""en"", ""fr"")"),"COUPER")</f>
        <v>COUPER</v>
      </c>
      <c r="D994" s="1" t="s">
        <v>4963</v>
      </c>
    </row>
    <row r="995" spans="1:146" ht="14.25" customHeight="1" x14ac:dyDescent="0.3">
      <c r="A995" s="1" t="s">
        <v>1137</v>
      </c>
      <c r="B995" s="1" t="str">
        <f ca="1">IFERROR(__xludf.DUMMYFUNCTION("GOOGLETRANSLATE(A995, ""en"", ""fr"")"),"RÉDUIRE")</f>
        <v>RÉDUIRE</v>
      </c>
      <c r="D995" s="1" t="s">
        <v>4963</v>
      </c>
    </row>
    <row r="996" spans="1:146" ht="14.25" customHeight="1" x14ac:dyDescent="0.3">
      <c r="A996" s="1" t="s">
        <v>1138</v>
      </c>
      <c r="B996" s="1" t="str">
        <f ca="1">IFERROR(__xludf.DUMMYFUNCTION("GOOGLETRANSLATE(A996, ""en"", ""fr"")"),"Coupures")</f>
        <v>Coupures</v>
      </c>
      <c r="D996" s="1" t="s">
        <v>4963</v>
      </c>
    </row>
    <row r="997" spans="1:146" ht="14.25" customHeight="1" x14ac:dyDescent="0.3">
      <c r="A997" s="1" t="s">
        <v>1139</v>
      </c>
      <c r="B997" s="1" t="str">
        <f ca="1">IFERROR(__xludf.DUMMYFUNCTION("GOOGLETRANSLATE(A997, ""en"", ""fr"")"),"faire du vélo")</f>
        <v>faire du vélo</v>
      </c>
      <c r="M997" s="1" t="s">
        <v>10</v>
      </c>
    </row>
    <row r="998" spans="1:146" ht="14.25" customHeight="1" x14ac:dyDescent="0.3">
      <c r="A998" s="1" t="s">
        <v>1140</v>
      </c>
      <c r="B998" s="1" t="str">
        <f ca="1">IFERROR(__xludf.DUMMYFUNCTION("GOOGLETRANSLATE(A998, ""en"", ""fr"")"),"cyclique")</f>
        <v>cyclique</v>
      </c>
      <c r="M998" s="1" t="s">
        <v>10</v>
      </c>
    </row>
    <row r="999" spans="1:146" ht="14.25" customHeight="1" x14ac:dyDescent="0.3">
      <c r="A999" s="1" t="s">
        <v>1141</v>
      </c>
      <c r="B999" s="1" t="str">
        <f ca="1">IFERROR(__xludf.DUMMYFUNCTION("GOOGLETRANSLATE(A999, ""en"", ""fr"")"),"industrie cyclique")</f>
        <v>industrie cyclique</v>
      </c>
      <c r="M999" s="1" t="s">
        <v>10</v>
      </c>
    </row>
    <row r="1000" spans="1:146" ht="14.25" customHeight="1" x14ac:dyDescent="0.3">
      <c r="A1000" s="1" t="s">
        <v>1142</v>
      </c>
      <c r="B1000" s="1" t="str">
        <f ca="1">IFERROR(__xludf.DUMMYFUNCTION("GOOGLETRANSLATE(A1000, ""en"", ""fr"")"),"risque cyclique")</f>
        <v>risque cyclique</v>
      </c>
      <c r="M1000" s="1" t="s">
        <v>10</v>
      </c>
    </row>
    <row r="1001" spans="1:146" ht="14.25" customHeight="1" x14ac:dyDescent="0.3">
      <c r="A1001" s="1" t="s">
        <v>1143</v>
      </c>
      <c r="B1001" s="1" t="str">
        <f ca="1">IFERROR(__xludf.DUMMYFUNCTION("GOOGLETRANSLATE(A1001, ""en"", ""fr"")"),"stock cyclique")</f>
        <v>stock cyclique</v>
      </c>
      <c r="M1001" s="1" t="s">
        <v>10</v>
      </c>
    </row>
    <row r="1002" spans="1:146" ht="14.25" customHeight="1" x14ac:dyDescent="0.3">
      <c r="A1002" s="1" t="s">
        <v>1144</v>
      </c>
      <c r="B1002" s="1" t="str">
        <f ca="1">IFERROR(__xludf.DUMMYFUNCTION("GOOGLETRANSLATE(A1002, ""en"", ""fr"")"),"chômage cyclique")</f>
        <v>chômage cyclique</v>
      </c>
      <c r="M1002" s="1" t="s">
        <v>10</v>
      </c>
    </row>
    <row r="1003" spans="1:146" ht="14.25" customHeight="1" x14ac:dyDescent="0.3">
      <c r="A1003" s="1" t="s">
        <v>1145</v>
      </c>
      <c r="B1003" s="1" t="str">
        <f ca="1">IFERROR(__xludf.DUMMYFUNCTION("GOOGLETRANSLATE(A1003, ""en"", ""fr"")"),"Dalia")</f>
        <v>Dalia</v>
      </c>
      <c r="AU1003" s="1" t="s">
        <v>44</v>
      </c>
      <c r="DD1003" s="1" t="s">
        <v>105</v>
      </c>
      <c r="EO1003" s="1" t="s">
        <v>142</v>
      </c>
      <c r="EP1003" s="1" t="s">
        <v>143</v>
      </c>
    </row>
    <row r="1004" spans="1:146" ht="14.25" customHeight="1" x14ac:dyDescent="0.3">
      <c r="A1004" s="1" t="s">
        <v>1146</v>
      </c>
      <c r="B1004" s="1" t="str">
        <f ca="1">IFERROR(__xludf.DUMMYFUNCTION("GOOGLETRANSLATE(A1004, ""en"", ""fr"")"),"DOMMAGE")</f>
        <v>DOMMAGE</v>
      </c>
      <c r="D1004" s="1" t="s">
        <v>4963</v>
      </c>
    </row>
    <row r="1005" spans="1:146" ht="14.25" customHeight="1" x14ac:dyDescent="0.3">
      <c r="A1005" s="1" t="s">
        <v>1147</v>
      </c>
      <c r="B1005" s="1" t="str">
        <f ca="1">IFERROR(__xludf.DUMMYFUNCTION("GOOGLETRANSLATE(A1005, ""en"", ""fr"")"),"Endommagé")</f>
        <v>Endommagé</v>
      </c>
      <c r="D1005" s="1" t="s">
        <v>4963</v>
      </c>
    </row>
    <row r="1006" spans="1:146" ht="14.25" customHeight="1" x14ac:dyDescent="0.3">
      <c r="A1006" s="1" t="s">
        <v>1148</v>
      </c>
      <c r="B1006" s="1" t="str">
        <f ca="1">IFERROR(__xludf.DUMMYFUNCTION("GOOGLETRANSLATE(A1006, ""en"", ""fr"")"),"DÉGÂTS")</f>
        <v>DÉGÂTS</v>
      </c>
      <c r="D1006" s="1" t="s">
        <v>4963</v>
      </c>
    </row>
    <row r="1007" spans="1:146" ht="14.25" customHeight="1" x14ac:dyDescent="0.3">
      <c r="A1007" s="1" t="s">
        <v>1149</v>
      </c>
      <c r="B1007" s="1" t="str">
        <f ca="1">IFERROR(__xludf.DUMMYFUNCTION("GOOGLETRANSLATE(A1007, ""en"", ""fr"")"),"Dommageable")</f>
        <v>Dommageable</v>
      </c>
      <c r="D1007" s="1" t="s">
        <v>4963</v>
      </c>
    </row>
    <row r="1008" spans="1:146" ht="14.25" customHeight="1" x14ac:dyDescent="0.3">
      <c r="A1008" s="1" t="s">
        <v>1150</v>
      </c>
      <c r="B1008" s="1" t="str">
        <f ca="1">IFERROR(__xludf.DUMMYFUNCTION("GOOGLETRANSLATE(A1008, ""en"", ""fr"")"),"HUMIDIFIER")</f>
        <v>HUMIDIFIER</v>
      </c>
      <c r="D1008" s="1" t="s">
        <v>4963</v>
      </c>
    </row>
    <row r="1009" spans="1:112" ht="14.25" customHeight="1" x14ac:dyDescent="0.3">
      <c r="A1009" s="1" t="s">
        <v>1151</v>
      </c>
      <c r="B1009" s="1" t="str">
        <f ca="1">IFERROR(__xludf.DUMMYFUNCTION("GOOGLETRANSLATE(A1009, ""en"", ""fr"")"),"Amorti")</f>
        <v>Amorti</v>
      </c>
      <c r="D1009" s="1" t="s">
        <v>4963</v>
      </c>
    </row>
    <row r="1010" spans="1:112" ht="14.25" customHeight="1" x14ac:dyDescent="0.3">
      <c r="A1010" s="1" t="s">
        <v>1152</v>
      </c>
      <c r="B1010" s="1" t="str">
        <f ca="1">IFERROR(__xludf.DUMMYFUNCTION("GOOGLETRANSLATE(A1010, ""en"", ""fr"")"),"DANGER")</f>
        <v>DANGER</v>
      </c>
      <c r="D1010" s="1" t="s">
        <v>4963</v>
      </c>
    </row>
    <row r="1011" spans="1:112" ht="14.25" customHeight="1" x14ac:dyDescent="0.3">
      <c r="A1011" s="1" t="s">
        <v>1153</v>
      </c>
      <c r="B1011" s="1" t="str">
        <f ca="1">IFERROR(__xludf.DUMMYFUNCTION("GOOGLETRANSLATE(A1011, ""en"", ""fr"")"),"DANGEREUX")</f>
        <v>DANGEREUX</v>
      </c>
      <c r="D1011" s="1" t="s">
        <v>4963</v>
      </c>
    </row>
    <row r="1012" spans="1:112" ht="14.25" customHeight="1" x14ac:dyDescent="0.3">
      <c r="A1012" s="1" t="s">
        <v>1154</v>
      </c>
      <c r="B1012" s="1" t="str">
        <f ca="1">IFERROR(__xludf.DUMMYFUNCTION("GOOGLETRANSLATE(A1012, ""en"", ""fr"")"),"Dangereusement")</f>
        <v>Dangereusement</v>
      </c>
      <c r="D1012" s="1" t="s">
        <v>4963</v>
      </c>
    </row>
    <row r="1013" spans="1:112" ht="14.25" customHeight="1" x14ac:dyDescent="0.3">
      <c r="A1013" s="1" t="s">
        <v>1155</v>
      </c>
      <c r="B1013" s="1" t="str">
        <f ca="1">IFERROR(__xludf.DUMMYFUNCTION("GOOGLETRANSLATE(A1013, ""en"", ""fr"")"),"Dangers")</f>
        <v>Dangers</v>
      </c>
      <c r="D1013" s="1" t="s">
        <v>4963</v>
      </c>
    </row>
    <row r="1014" spans="1:112" ht="14.25" customHeight="1" x14ac:dyDescent="0.3">
      <c r="A1014" s="1" t="s">
        <v>1156</v>
      </c>
      <c r="B1014" s="1" t="str">
        <f ca="1">IFERROR(__xludf.DUMMYFUNCTION("GOOGLETRANSLATE(A1014, ""en"", ""fr"")"),"daqing")</f>
        <v>daqing</v>
      </c>
      <c r="BW1014" s="1" t="s">
        <v>72</v>
      </c>
      <c r="DD1014" s="1" t="s">
        <v>105</v>
      </c>
      <c r="DH1014" s="1" t="s">
        <v>109</v>
      </c>
    </row>
    <row r="1015" spans="1:112" ht="14.25" customHeight="1" x14ac:dyDescent="0.3">
      <c r="A1015" s="1" t="s">
        <v>1157</v>
      </c>
      <c r="B1015" s="1" t="str">
        <f ca="1">IFERROR(__xludf.DUMMYFUNCTION("GOOGLETRANSLATE(A1015, ""en"", ""fr"")"),"Dar mélange")</f>
        <v>Dar mélange</v>
      </c>
      <c r="R1015" s="1" t="s">
        <v>15</v>
      </c>
      <c r="CS1015" s="1" t="s">
        <v>94</v>
      </c>
    </row>
    <row r="1016" spans="1:112" ht="14.25" customHeight="1" x14ac:dyDescent="0.3">
      <c r="A1016" s="1" t="s">
        <v>1158</v>
      </c>
      <c r="B1016" s="1" t="str">
        <f ca="1">IFERROR(__xludf.DUMMYFUNCTION("GOOGLETRANSLATE(A1016, ""en"", ""fr"")"),"darkhan")</f>
        <v>darkhan</v>
      </c>
      <c r="AK1016" s="1" t="s">
        <v>34</v>
      </c>
      <c r="CB1016" s="1" t="s">
        <v>77</v>
      </c>
      <c r="DD1016" s="1" t="s">
        <v>105</v>
      </c>
    </row>
    <row r="1017" spans="1:112" ht="14.25" customHeight="1" x14ac:dyDescent="0.3">
      <c r="A1017" s="1" t="s">
        <v>1159</v>
      </c>
      <c r="B1017" s="1" t="str">
        <f ca="1">IFERROR(__xludf.DUMMYFUNCTION("GOOGLETRANSLATE(A1017, ""en"", ""fr"")"),"jours payables en suspens")</f>
        <v>jours payables en suspens</v>
      </c>
      <c r="CR1017" s="1" t="s">
        <v>93</v>
      </c>
    </row>
    <row r="1018" spans="1:112" ht="14.25" customHeight="1" x14ac:dyDescent="0.3">
      <c r="A1018" s="1" t="s">
        <v>1160</v>
      </c>
      <c r="B1018" s="1" t="str">
        <f ca="1">IFERROR(__xludf.DUMMYFUNCTION("GOOGLETRANSLATE(A1018, ""en"", ""fr"")"),"Des jours de soldes incroyables")</f>
        <v>Des jours de soldes incroyables</v>
      </c>
      <c r="CR1018" s="1" t="s">
        <v>93</v>
      </c>
    </row>
    <row r="1019" spans="1:112" ht="14.25" customHeight="1" x14ac:dyDescent="0.3">
      <c r="A1019" s="1" t="s">
        <v>1161</v>
      </c>
      <c r="B1019" s="1" t="str">
        <f ca="1">IFERROR(__xludf.DUMMYFUNCTION("GOOGLETRANSLATE(A1019, ""en"", ""fr"")"),"ddb")</f>
        <v>ddb</v>
      </c>
      <c r="CR1019" s="1" t="s">
        <v>93</v>
      </c>
    </row>
    <row r="1020" spans="1:112" ht="14.25" customHeight="1" x14ac:dyDescent="0.3">
      <c r="A1020" s="1" t="s">
        <v>1162</v>
      </c>
      <c r="B1020" s="1" t="str">
        <f ca="1">IFERROR(__xludf.DUMMYFUNCTION("GOOGLETRANSLATE(A1020, ""en"", ""fr"")"),"IMPASSE")</f>
        <v>IMPASSE</v>
      </c>
      <c r="D1020" s="1" t="s">
        <v>4963</v>
      </c>
    </row>
    <row r="1021" spans="1:112" ht="14.25" customHeight="1" x14ac:dyDescent="0.3">
      <c r="A1021" s="1" t="s">
        <v>1163</v>
      </c>
      <c r="B1021" s="1" t="str">
        <f ca="1">IFERROR(__xludf.DUMMYFUNCTION("GOOGLETRANSLATE(A1021, ""en"", ""fr"")"),"Dans l'impasse")</f>
        <v>Dans l'impasse</v>
      </c>
      <c r="D1021" s="1" t="s">
        <v>4963</v>
      </c>
    </row>
    <row r="1022" spans="1:112" ht="14.25" customHeight="1" x14ac:dyDescent="0.3">
      <c r="A1022" s="1" t="s">
        <v>1164</v>
      </c>
      <c r="B1022" s="1" t="str">
        <f ca="1">IFERROR(__xludf.DUMMYFUNCTION("GOOGLETRANSLATE(A1022, ""en"", ""fr"")"),"Délassement")</f>
        <v>Délassement</v>
      </c>
      <c r="D1022" s="1" t="s">
        <v>4963</v>
      </c>
    </row>
    <row r="1023" spans="1:112" ht="14.25" customHeight="1" x14ac:dyDescent="0.3">
      <c r="A1023" s="1" t="s">
        <v>1165</v>
      </c>
      <c r="B1023" s="1" t="str">
        <f ca="1">IFERROR(__xludf.DUMMYFUNCTION("GOOGLETRANSLATE(A1023, ""en"", ""fr"")"),"Blocs de blocs")</f>
        <v>Blocs de blocs</v>
      </c>
      <c r="D1023" s="1" t="s">
        <v>4963</v>
      </c>
    </row>
    <row r="1024" spans="1:112" ht="14.25" customHeight="1" x14ac:dyDescent="0.3">
      <c r="A1024" s="1" t="s">
        <v>1166</v>
      </c>
      <c r="B1024" s="1" t="str">
        <f ca="1">IFERROR(__xludf.DUMMYFUNCTION("GOOGLETRANSLATE(A1024, ""en"", ""fr"")"),"Poids mort")</f>
        <v>Poids mort</v>
      </c>
      <c r="D1024" s="1" t="s">
        <v>4963</v>
      </c>
    </row>
    <row r="1025" spans="1:136" ht="14.25" customHeight="1" x14ac:dyDescent="0.3">
      <c r="A1025" s="1" t="s">
        <v>1167</v>
      </c>
      <c r="B1025" s="1" t="str">
        <f ca="1">IFERROR(__xludf.DUMMYFUNCTION("GOOGLETRANSLATE(A1025, ""en"", ""fr"")"),"Poids morts")</f>
        <v>Poids morts</v>
      </c>
      <c r="D1025" s="1" t="s">
        <v>4963</v>
      </c>
    </row>
    <row r="1026" spans="1:136" ht="14.25" customHeight="1" x14ac:dyDescent="0.3">
      <c r="A1026" s="1" t="s">
        <v>1168</v>
      </c>
      <c r="B1026" s="1" t="str">
        <f ca="1">IFERROR(__xludf.DUMMYFUNCTION("GOOGLETRANSLATE(A1026, ""en"", ""fr"")"),"accord")</f>
        <v>accord</v>
      </c>
      <c r="M1026" s="1" t="s">
        <v>10</v>
      </c>
    </row>
    <row r="1027" spans="1:136" ht="14.25" customHeight="1" x14ac:dyDescent="0.3">
      <c r="A1027" s="1" t="s">
        <v>1169</v>
      </c>
      <c r="B1027" s="1" t="str">
        <f ca="1">IFERROR(__xludf.DUMMYFUNCTION("GOOGLETRANSLATE(A1027, ""en"", ""fr"")"),"Débarment")</f>
        <v>Débarment</v>
      </c>
      <c r="D1027" s="1" t="s">
        <v>4963</v>
      </c>
    </row>
    <row r="1028" spans="1:136" ht="14.25" customHeight="1" x14ac:dyDescent="0.3">
      <c r="A1028" s="1" t="s">
        <v>1170</v>
      </c>
      <c r="B1028" s="1" t="str">
        <f ca="1">IFERROR(__xludf.DUMMYFUNCTION("GOOGLETRANSLATE(A1028, ""en"", ""fr"")"),"Dangements")</f>
        <v>Dangements</v>
      </c>
      <c r="D1028" s="1" t="s">
        <v>4963</v>
      </c>
    </row>
    <row r="1029" spans="1:136" ht="14.25" customHeight="1" x14ac:dyDescent="0.3">
      <c r="A1029" s="1" t="s">
        <v>1171</v>
      </c>
      <c r="B1029" s="1" t="str">
        <f ca="1">IFERROR(__xludf.DUMMYFUNCTION("GOOGLETRANSLATE(A1029, ""en"", ""fr"")"),"Débarqué")</f>
        <v>Débarqué</v>
      </c>
      <c r="D1029" s="1" t="s">
        <v>4963</v>
      </c>
    </row>
    <row r="1030" spans="1:136" ht="14.25" customHeight="1" x14ac:dyDescent="0.3">
      <c r="A1030" s="1" t="s">
        <v>1172</v>
      </c>
      <c r="B1030" s="1" t="str">
        <f ca="1">IFERROR(__xludf.DUMMYFUNCTION("GOOGLETRANSLATE(A1030, ""en"", ""fr"")"),"dette")</f>
        <v>dette</v>
      </c>
      <c r="CR1030" s="1" t="s">
        <v>93</v>
      </c>
    </row>
    <row r="1031" spans="1:136" ht="14.25" customHeight="1" x14ac:dyDescent="0.3">
      <c r="A1031" s="1" t="s">
        <v>1173</v>
      </c>
      <c r="B1031" s="1" t="str">
        <f ca="1">IFERROR(__xludf.DUMMYFUNCTION("GOOGLETRANSLATE(A1031, ""en"", ""fr"")"),"dette")</f>
        <v>dette</v>
      </c>
      <c r="M1031" s="1" t="s">
        <v>10</v>
      </c>
    </row>
    <row r="1032" spans="1:136" ht="14.25" customHeight="1" x14ac:dyDescent="0.3">
      <c r="A1032" s="1" t="s">
        <v>1174</v>
      </c>
      <c r="B1032" s="1" t="str">
        <f ca="1">IFERROR(__xludf.DUMMYFUNCTION("GOOGLETRANSLATE(A1032, ""en"", ""fr"")"),"dette")</f>
        <v>dette</v>
      </c>
      <c r="Q1032" s="1" t="s">
        <v>14</v>
      </c>
      <c r="EF1032" s="1" t="s">
        <v>133</v>
      </c>
    </row>
    <row r="1033" spans="1:136" ht="14.25" customHeight="1" x14ac:dyDescent="0.3">
      <c r="A1033" s="1" t="s">
        <v>1175</v>
      </c>
      <c r="B1033" s="1" t="str">
        <f ca="1">IFERROR(__xludf.DUMMYFUNCTION("GOOGLETRANSLATE(A1033, ""en"", ""fr"")"),"surplomb de dettes")</f>
        <v>surplomb de dettes</v>
      </c>
      <c r="M1033" s="1" t="s">
        <v>10</v>
      </c>
    </row>
    <row r="1034" spans="1:136" ht="14.25" customHeight="1" x14ac:dyDescent="0.3">
      <c r="A1034" s="1" t="s">
        <v>1176</v>
      </c>
      <c r="B1034" s="1" t="str">
        <f ca="1">IFERROR(__xludf.DUMMYFUNCTION("GOOGLETRANSLATE(A1034, ""en"", ""fr"")"),"ratio dette / actions")</f>
        <v>ratio dette / actions</v>
      </c>
      <c r="CR1034" s="1" t="s">
        <v>93</v>
      </c>
    </row>
    <row r="1035" spans="1:136" ht="14.25" customHeight="1" x14ac:dyDescent="0.3">
      <c r="A1035" s="1" t="s">
        <v>1177</v>
      </c>
      <c r="B1035" s="1" t="str">
        <f ca="1">IFERROR(__xludf.DUMMYFUNCTION("GOOGLETRANSLATE(A1035, ""en"", ""fr"")"),"Ratio de dette à actions tangibles")</f>
        <v>Ratio de dette à actions tangibles</v>
      </c>
      <c r="CR1035" s="1" t="s">
        <v>93</v>
      </c>
    </row>
    <row r="1036" spans="1:136" ht="14.25" customHeight="1" x14ac:dyDescent="0.3">
      <c r="A1036" s="1" t="s">
        <v>1178</v>
      </c>
      <c r="B1036" s="1" t="str">
        <f ca="1">IFERROR(__xludf.DUMMYFUNCTION("GOOGLETRANSLATE(A1036, ""en"", ""fr"")"),"nation du débiteur")</f>
        <v>nation du débiteur</v>
      </c>
      <c r="M1036" s="1" t="s">
        <v>10</v>
      </c>
    </row>
    <row r="1037" spans="1:136" ht="14.25" customHeight="1" x14ac:dyDescent="0.3">
      <c r="A1037" s="1" t="s">
        <v>1179</v>
      </c>
      <c r="B1037" s="1" t="str">
        <f ca="1">IFERROR(__xludf.DUMMYFUNCTION("GOOGLETRANSLATE(A1037, ""en"", ""fr"")"),"déc")</f>
        <v>déc</v>
      </c>
      <c r="J1037" s="1" t="s">
        <v>7</v>
      </c>
    </row>
    <row r="1038" spans="1:136" ht="14.25" customHeight="1" x14ac:dyDescent="0.3">
      <c r="A1038" s="1" t="s">
        <v>1180</v>
      </c>
      <c r="B1038" s="1" t="str">
        <f ca="1">IFERROR(__xludf.DUMMYFUNCTION("GOOGLETRANSLATE(A1038, ""en"", ""fr"")"),"DÉCÉDÉ")</f>
        <v>DÉCÉDÉ</v>
      </c>
      <c r="D1038" s="1" t="s">
        <v>4963</v>
      </c>
    </row>
    <row r="1039" spans="1:136" ht="14.25" customHeight="1" x14ac:dyDescent="0.3">
      <c r="A1039" s="1" t="s">
        <v>1181</v>
      </c>
      <c r="B1039" s="1" t="str">
        <f ca="1">IFERROR(__xludf.DUMMYFUNCTION("GOOGLETRANSLATE(A1039, ""en"", ""fr"")"),"TROMPERIE")</f>
        <v>TROMPERIE</v>
      </c>
      <c r="D1039" s="1" t="s">
        <v>4963</v>
      </c>
    </row>
    <row r="1040" spans="1:136" ht="14.25" customHeight="1" x14ac:dyDescent="0.3">
      <c r="A1040" s="1" t="s">
        <v>1182</v>
      </c>
      <c r="B1040" s="1" t="str">
        <f ca="1">IFERROR(__xludf.DUMMYFUNCTION("GOOGLETRANSLATE(A1040, ""en"", ""fr"")"),"TROMPEUR")</f>
        <v>TROMPEUR</v>
      </c>
      <c r="D1040" s="1" t="s">
        <v>4963</v>
      </c>
    </row>
    <row r="1041" spans="1:10" ht="14.25" customHeight="1" x14ac:dyDescent="0.3">
      <c r="A1041" s="1" t="s">
        <v>1183</v>
      </c>
      <c r="B1041" s="1" t="str">
        <f ca="1">IFERROR(__xludf.DUMMYFUNCTION("GOOGLETRANSLATE(A1041, ""en"", ""fr"")"),"FAUSSETÉ")</f>
        <v>FAUSSETÉ</v>
      </c>
      <c r="D1041" s="1" t="s">
        <v>4963</v>
      </c>
    </row>
    <row r="1042" spans="1:10" ht="14.25" customHeight="1" x14ac:dyDescent="0.3">
      <c r="A1042" s="1" t="s">
        <v>1184</v>
      </c>
      <c r="B1042" s="1" t="str">
        <f ca="1">IFERROR(__xludf.DUMMYFUNCTION("GOOGLETRANSLATE(A1042, ""en"", ""fr"")"),"TROMPER")</f>
        <v>TROMPER</v>
      </c>
      <c r="D1042" s="1" t="s">
        <v>4963</v>
      </c>
    </row>
    <row r="1043" spans="1:10" ht="14.25" customHeight="1" x14ac:dyDescent="0.3">
      <c r="A1043" s="1" t="s">
        <v>1185</v>
      </c>
      <c r="B1043" s="1" t="str">
        <f ca="1">IFERROR(__xludf.DUMMYFUNCTION("GOOGLETRANSLATE(A1043, ""en"", ""fr"")"),"TROMPÉ")</f>
        <v>TROMPÉ</v>
      </c>
      <c r="D1043" s="1" t="s">
        <v>4963</v>
      </c>
    </row>
    <row r="1044" spans="1:10" ht="14.25" customHeight="1" x14ac:dyDescent="0.3">
      <c r="A1044" s="1" t="s">
        <v>1186</v>
      </c>
      <c r="B1044" s="1" t="str">
        <f ca="1">IFERROR(__xludf.DUMMYFUNCTION("GOOGLETRANSLATE(A1044, ""en"", ""fr"")"),"Tromper")</f>
        <v>Tromper</v>
      </c>
      <c r="D1044" s="1" t="s">
        <v>4963</v>
      </c>
    </row>
    <row r="1045" spans="1:10" ht="14.25" customHeight="1" x14ac:dyDescent="0.3">
      <c r="A1045" s="1" t="s">
        <v>1187</v>
      </c>
      <c r="B1045" s="1" t="str">
        <f ca="1">IFERROR(__xludf.DUMMYFUNCTION("GOOGLETRANSLATE(A1045, ""en"", ""fr"")"),"Tromperie")</f>
        <v>Tromperie</v>
      </c>
      <c r="D1045" s="1" t="s">
        <v>4963</v>
      </c>
    </row>
    <row r="1046" spans="1:10" ht="14.25" customHeight="1" x14ac:dyDescent="0.3">
      <c r="A1046" s="1" t="s">
        <v>1188</v>
      </c>
      <c r="B1046" s="1" t="str">
        <f ca="1">IFERROR(__xludf.DUMMYFUNCTION("GOOGLETRANSLATE(A1046, ""en"", ""fr"")"),"décembre")</f>
        <v>décembre</v>
      </c>
      <c r="J1046" s="1" t="s">
        <v>7</v>
      </c>
    </row>
    <row r="1047" spans="1:10" ht="14.25" customHeight="1" x14ac:dyDescent="0.3">
      <c r="A1047" s="1" t="s">
        <v>1189</v>
      </c>
      <c r="B1047" s="1" t="str">
        <f ca="1">IFERROR(__xludf.DUMMYFUNCTION("GOOGLETRANSLATE(A1047, ""en"", ""fr"")"),"TROMPERIE")</f>
        <v>TROMPERIE</v>
      </c>
      <c r="D1047" s="1" t="s">
        <v>4963</v>
      </c>
    </row>
    <row r="1048" spans="1:10" ht="14.25" customHeight="1" x14ac:dyDescent="0.3">
      <c r="A1048" s="1" t="s">
        <v>1190</v>
      </c>
      <c r="B1048" s="1" t="str">
        <f ca="1">IFERROR(__xludf.DUMMYFUNCTION("GOOGLETRANSLATE(A1048, ""en"", ""fr"")"),"Tromperie")</f>
        <v>Tromperie</v>
      </c>
      <c r="D1048" s="1" t="s">
        <v>4963</v>
      </c>
    </row>
    <row r="1049" spans="1:10" ht="14.25" customHeight="1" x14ac:dyDescent="0.3">
      <c r="A1049" s="1" t="s">
        <v>1191</v>
      </c>
      <c r="B1049" s="1" t="str">
        <f ca="1">IFERROR(__xludf.DUMMYFUNCTION("GOOGLETRANSLATE(A1049, ""en"", ""fr"")"),"TROMPEUR")</f>
        <v>TROMPEUR</v>
      </c>
      <c r="D1049" s="1" t="s">
        <v>4963</v>
      </c>
    </row>
    <row r="1050" spans="1:10" ht="14.25" customHeight="1" x14ac:dyDescent="0.3">
      <c r="A1050" s="1" t="s">
        <v>1192</v>
      </c>
      <c r="B1050" s="1" t="str">
        <f ca="1">IFERROR(__xludf.DUMMYFUNCTION("GOOGLETRANSLATE(A1050, ""en"", ""fr"")"),"Trompeusement")</f>
        <v>Trompeusement</v>
      </c>
      <c r="D1050" s="1" t="s">
        <v>4963</v>
      </c>
    </row>
    <row r="1051" spans="1:10" ht="14.25" customHeight="1" x14ac:dyDescent="0.3">
      <c r="A1051" s="1" t="s">
        <v>1193</v>
      </c>
      <c r="B1051" s="1" t="str">
        <f ca="1">IFERROR(__xludf.DUMMYFUNCTION("GOOGLETRANSLATE(A1051, ""en"", ""fr"")"),"DÉCLIN")</f>
        <v>DÉCLIN</v>
      </c>
      <c r="D1051" s="1" t="s">
        <v>4963</v>
      </c>
    </row>
    <row r="1052" spans="1:10" ht="14.25" customHeight="1" x14ac:dyDescent="0.3">
      <c r="A1052" s="1" t="s">
        <v>1194</v>
      </c>
      <c r="B1052" s="1" t="str">
        <f ca="1">IFERROR(__xludf.DUMMYFUNCTION("GOOGLETRANSLATE(A1052, ""en"", ""fr"")"),"DIMINUÉ")</f>
        <v>DIMINUÉ</v>
      </c>
      <c r="D1052" s="1" t="s">
        <v>4963</v>
      </c>
    </row>
    <row r="1053" spans="1:10" ht="14.25" customHeight="1" x14ac:dyDescent="0.3">
      <c r="A1053" s="1" t="s">
        <v>1195</v>
      </c>
      <c r="B1053" s="1" t="str">
        <f ca="1">IFERROR(__xludf.DUMMYFUNCTION("GOOGLETRANSLATE(A1053, ""en"", ""fr"")"),"Baisse")</f>
        <v>Baisse</v>
      </c>
      <c r="D1053" s="1" t="s">
        <v>4963</v>
      </c>
    </row>
    <row r="1054" spans="1:10" ht="14.25" customHeight="1" x14ac:dyDescent="0.3">
      <c r="A1054" s="1" t="s">
        <v>1196</v>
      </c>
      <c r="B1054" s="1" t="str">
        <f ca="1">IFERROR(__xludf.DUMMYFUNCTION("GOOGLETRANSLATE(A1054, ""en"", ""fr"")"),"Déclinant")</f>
        <v>Déclinant</v>
      </c>
      <c r="D1054" s="1" t="s">
        <v>4963</v>
      </c>
    </row>
    <row r="1055" spans="1:10" ht="14.25" customHeight="1" x14ac:dyDescent="0.3">
      <c r="A1055" s="1" t="s">
        <v>1197</v>
      </c>
      <c r="B1055" s="1" t="str">
        <f ca="1">IFERROR(__xludf.DUMMYFUNCTION("GOOGLETRANSLATE(A1055, ""en"", ""fr"")"),"Déclassement")</f>
        <v>Déclassement</v>
      </c>
      <c r="E1055" s="1" t="s">
        <v>3</v>
      </c>
    </row>
    <row r="1056" spans="1:10" ht="14.25" customHeight="1" x14ac:dyDescent="0.3">
      <c r="A1056" s="1" t="s">
        <v>1198</v>
      </c>
      <c r="B1056" s="1" t="str">
        <f ca="1">IFERROR(__xludf.DUMMYFUNCTION("GOOGLETRANSLATE(A1056, ""en"", ""fr"")"),"Approfondi")</f>
        <v>Approfondi</v>
      </c>
      <c r="D1056" s="1" t="s">
        <v>4963</v>
      </c>
    </row>
    <row r="1057" spans="1:132" ht="14.25" customHeight="1" x14ac:dyDescent="0.3">
      <c r="A1057" s="1" t="s">
        <v>1199</v>
      </c>
      <c r="B1057" s="1" t="str">
        <f ca="1">IFERROR(__xludf.DUMMYFUNCTION("GOOGLETRANSLATE(A1057, ""en"", ""fr"")"),"Approfondissement")</f>
        <v>Approfondissement</v>
      </c>
      <c r="D1057" s="1" t="s">
        <v>4963</v>
      </c>
    </row>
    <row r="1058" spans="1:132" ht="14.25" customHeight="1" x14ac:dyDescent="0.3">
      <c r="A1058" s="1" t="s">
        <v>1200</v>
      </c>
      <c r="B1058" s="1" t="str">
        <f ca="1">IFERROR(__xludf.DUMMYFUNCTION("GOOGLETRANSLATE(A1058, ""en"", ""fr"")"),"Approfondir")</f>
        <v>Approfondir</v>
      </c>
      <c r="D1058" s="1" t="s">
        <v>4963</v>
      </c>
    </row>
    <row r="1059" spans="1:132" ht="14.25" customHeight="1" x14ac:dyDescent="0.3">
      <c r="A1059" s="1" t="s">
        <v>1201</v>
      </c>
      <c r="B1059" s="1" t="str">
        <f ca="1">IFERROR(__xludf.DUMMYFUNCTION("GOOGLETRANSLATE(A1059, ""en"", ""fr"")"),"PLUS PROFOND")</f>
        <v>PLUS PROFOND</v>
      </c>
      <c r="D1059" s="1" t="s">
        <v>4963</v>
      </c>
    </row>
    <row r="1060" spans="1:132" ht="14.25" customHeight="1" x14ac:dyDescent="0.3">
      <c r="A1060" s="1" t="s">
        <v>1202</v>
      </c>
      <c r="B1060" s="1" t="str">
        <f ca="1">IFERROR(__xludf.DUMMYFUNCTION("GOOGLETRANSLATE(A1060, ""en"", ""fr"")"),"Le plus profond")</f>
        <v>Le plus profond</v>
      </c>
      <c r="D1060" s="1" t="s">
        <v>4963</v>
      </c>
    </row>
    <row r="1061" spans="1:132" ht="14.25" customHeight="1" x14ac:dyDescent="0.3">
      <c r="A1061" s="1" t="s">
        <v>1203</v>
      </c>
      <c r="B1061" s="1" t="str">
        <f ca="1">IFERROR(__xludf.DUMMYFUNCTION("GOOGLETRANSLATE(A1061, ""en"", ""fr"")"),"Découverte en eau profonde")</f>
        <v>Découverte en eau profonde</v>
      </c>
      <c r="AY1061" s="1" t="s">
        <v>48</v>
      </c>
    </row>
    <row r="1062" spans="1:132" ht="14.25" customHeight="1" x14ac:dyDescent="0.3">
      <c r="A1062" s="1" t="s">
        <v>1204</v>
      </c>
      <c r="B1062" s="1" t="str">
        <f ca="1">IFERROR(__xludf.DUMMYFUNCTION("GOOGLETRANSLATE(A1062, ""en"", ""fr"")"),"Partenariat de Deer Park Shell-Pemex")</f>
        <v>Partenariat de Deer Park Shell-Pemex</v>
      </c>
      <c r="Y1062" s="1" t="s">
        <v>22</v>
      </c>
      <c r="BF1062" s="1" t="s">
        <v>55</v>
      </c>
      <c r="BI1062" s="1" t="s">
        <v>58</v>
      </c>
      <c r="EB1062" s="1" t="s">
        <v>129</v>
      </c>
    </row>
    <row r="1063" spans="1:132" ht="14.25" customHeight="1" x14ac:dyDescent="0.3">
      <c r="A1063" s="1" t="s">
        <v>1205</v>
      </c>
      <c r="B1063" s="1" t="str">
        <f ca="1">IFERROR(__xludf.DUMMYFUNCTION("GOOGLETRANSLATE(A1063, ""en"", ""fr"")"),"RENDRE ILLISIBLE")</f>
        <v>RENDRE ILLISIBLE</v>
      </c>
      <c r="D1063" s="1" t="s">
        <v>4963</v>
      </c>
    </row>
    <row r="1064" spans="1:132" ht="14.25" customHeight="1" x14ac:dyDescent="0.3">
      <c r="A1064" s="1" t="s">
        <v>1206</v>
      </c>
      <c r="B1064" s="1" t="str">
        <f ca="1">IFERROR(__xludf.DUMMYFUNCTION("GOOGLETRANSLATE(A1064, ""en"", ""fr"")"),"Effacé")</f>
        <v>Effacé</v>
      </c>
      <c r="D1064" s="1" t="s">
        <v>4963</v>
      </c>
    </row>
    <row r="1065" spans="1:132" ht="14.25" customHeight="1" x14ac:dyDescent="0.3">
      <c r="A1065" s="1" t="s">
        <v>1207</v>
      </c>
      <c r="B1065" s="1" t="str">
        <f ca="1">IFERROR(__xludf.DUMMYFUNCTION("GOOGLETRANSLATE(A1065, ""en"", ""fr"")"),"DÉGRADATION")</f>
        <v>DÉGRADATION</v>
      </c>
      <c r="D1065" s="1" t="s">
        <v>4963</v>
      </c>
    </row>
    <row r="1066" spans="1:132" ht="14.25" customHeight="1" x14ac:dyDescent="0.3">
      <c r="A1066" s="1" t="s">
        <v>1208</v>
      </c>
      <c r="B1066" s="1" t="str">
        <f ca="1">IFERROR(__xludf.DUMMYFUNCTION("GOOGLETRANSLATE(A1066, ""en"", ""fr"")"),"DIFFAMATION")</f>
        <v>DIFFAMATION</v>
      </c>
      <c r="D1066" s="1" t="s">
        <v>4963</v>
      </c>
    </row>
    <row r="1067" spans="1:132" ht="14.25" customHeight="1" x14ac:dyDescent="0.3">
      <c r="A1067" s="1" t="s">
        <v>1209</v>
      </c>
      <c r="B1067" s="1" t="str">
        <f ca="1">IFERROR(__xludf.DUMMYFUNCTION("GOOGLETRANSLATE(A1067, ""en"", ""fr"")"),"Diffamation")</f>
        <v>Diffamation</v>
      </c>
      <c r="D1067" s="1" t="s">
        <v>4963</v>
      </c>
    </row>
    <row r="1068" spans="1:132" ht="14.25" customHeight="1" x14ac:dyDescent="0.3">
      <c r="A1068" s="1" t="s">
        <v>1210</v>
      </c>
      <c r="B1068" s="1" t="str">
        <f ca="1">IFERROR(__xludf.DUMMYFUNCTION("GOOGLETRANSLATE(A1068, ""en"", ""fr"")"),"DIFFAMATOIRE")</f>
        <v>DIFFAMATOIRE</v>
      </c>
      <c r="D1068" s="1" t="s">
        <v>4963</v>
      </c>
    </row>
    <row r="1069" spans="1:132" ht="14.25" customHeight="1" x14ac:dyDescent="0.3">
      <c r="A1069" s="1" t="s">
        <v>1211</v>
      </c>
      <c r="B1069" s="1" t="str">
        <f ca="1">IFERROR(__xludf.DUMMYFUNCTION("GOOGLETRANSLATE(A1069, ""en"", ""fr"")"),"DIFFAMER")</f>
        <v>DIFFAMER</v>
      </c>
      <c r="D1069" s="1" t="s">
        <v>4963</v>
      </c>
    </row>
    <row r="1070" spans="1:132" ht="14.25" customHeight="1" x14ac:dyDescent="0.3">
      <c r="A1070" s="1" t="s">
        <v>1212</v>
      </c>
      <c r="B1070" s="1" t="str">
        <f ca="1">IFERROR(__xludf.DUMMYFUNCTION("GOOGLETRANSLATE(A1070, ""en"", ""fr"")"),"Diffamé")</f>
        <v>Diffamé</v>
      </c>
      <c r="D1070" s="1" t="s">
        <v>4963</v>
      </c>
    </row>
    <row r="1071" spans="1:132" ht="14.25" customHeight="1" x14ac:dyDescent="0.3">
      <c r="A1071" s="1" t="s">
        <v>1213</v>
      </c>
      <c r="B1071" s="1" t="str">
        <f ca="1">IFERROR(__xludf.DUMMYFUNCTION("GOOGLETRANSLATE(A1071, ""en"", ""fr"")"),"Diffamer")</f>
        <v>Diffamer</v>
      </c>
      <c r="D1071" s="1" t="s">
        <v>4963</v>
      </c>
    </row>
    <row r="1072" spans="1:132" ht="14.25" customHeight="1" x14ac:dyDescent="0.3">
      <c r="A1072" s="1" t="s">
        <v>1214</v>
      </c>
      <c r="B1072" s="1" t="str">
        <f ca="1">IFERROR(__xludf.DUMMYFUNCTION("GOOGLETRANSLATE(A1072, ""en"", ""fr"")"),"Diffamation")</f>
        <v>Diffamation</v>
      </c>
      <c r="D1072" s="1" t="s">
        <v>4963</v>
      </c>
    </row>
    <row r="1073" spans="1:4" ht="14.25" customHeight="1" x14ac:dyDescent="0.3">
      <c r="A1073" s="1" t="s">
        <v>1215</v>
      </c>
      <c r="B1073" s="1" t="str">
        <f ca="1">IFERROR(__xludf.DUMMYFUNCTION("GOOGLETRANSLATE(A1073, ""en"", ""fr"")"),"DÉFAUT")</f>
        <v>DÉFAUT</v>
      </c>
      <c r="D1073" s="1" t="s">
        <v>4963</v>
      </c>
    </row>
    <row r="1074" spans="1:4" ht="14.25" customHeight="1" x14ac:dyDescent="0.3">
      <c r="A1074" s="1" t="s">
        <v>1216</v>
      </c>
      <c r="B1074" s="1" t="str">
        <f ca="1">IFERROR(__xludf.DUMMYFUNCTION("GOOGLETRANSLATE(A1074, ""en"", ""fr"")"),"Par défaut")</f>
        <v>Par défaut</v>
      </c>
      <c r="D1074" s="1" t="s">
        <v>4963</v>
      </c>
    </row>
    <row r="1075" spans="1:4" ht="14.25" customHeight="1" x14ac:dyDescent="0.3">
      <c r="A1075" s="1" t="s">
        <v>1217</v>
      </c>
      <c r="B1075" s="1" t="str">
        <f ca="1">IFERROR(__xludf.DUMMYFUNCTION("GOOGLETRANSLATE(A1075, ""en"", ""fr"")"),"Défautant")</f>
        <v>Défautant</v>
      </c>
      <c r="D1075" s="1" t="s">
        <v>4963</v>
      </c>
    </row>
    <row r="1076" spans="1:4" ht="14.25" customHeight="1" x14ac:dyDescent="0.3">
      <c r="A1076" s="1" t="s">
        <v>1218</v>
      </c>
      <c r="B1076" s="1" t="str">
        <f ca="1">IFERROR(__xludf.DUMMYFUNCTION("GOOGLETRANSLATE(A1076, ""en"", ""fr"")"),"Par défaut")</f>
        <v>Par défaut</v>
      </c>
      <c r="D1076" s="1" t="s">
        <v>4963</v>
      </c>
    </row>
    <row r="1077" spans="1:4" ht="14.25" customHeight="1" x14ac:dyDescent="0.3">
      <c r="A1077" s="1" t="s">
        <v>1219</v>
      </c>
      <c r="B1077" s="1" t="str">
        <f ca="1">IFERROR(__xludf.DUMMYFUNCTION("GOOGLETRANSLATE(A1077, ""en"", ""fr"")"),"DÉFAITE")</f>
        <v>DÉFAITE</v>
      </c>
      <c r="D1077" s="1" t="s">
        <v>4963</v>
      </c>
    </row>
    <row r="1078" spans="1:4" ht="14.25" customHeight="1" x14ac:dyDescent="0.3">
      <c r="A1078" s="1" t="s">
        <v>1220</v>
      </c>
      <c r="B1078" s="1" t="str">
        <f ca="1">IFERROR(__xludf.DUMMYFUNCTION("GOOGLETRANSLATE(A1078, ""en"", ""fr"")"),"VAINCU")</f>
        <v>VAINCU</v>
      </c>
      <c r="D1078" s="1" t="s">
        <v>4963</v>
      </c>
    </row>
    <row r="1079" spans="1:4" ht="14.25" customHeight="1" x14ac:dyDescent="0.3">
      <c r="A1079" s="1" t="s">
        <v>1221</v>
      </c>
      <c r="B1079" s="1" t="str">
        <f ca="1">IFERROR(__xludf.DUMMYFUNCTION("GOOGLETRANSLATE(A1079, ""en"", ""fr"")"),"DÉFAITE")</f>
        <v>DÉFAITE</v>
      </c>
      <c r="D1079" s="1" t="s">
        <v>4963</v>
      </c>
    </row>
    <row r="1080" spans="1:4" ht="14.25" customHeight="1" x14ac:dyDescent="0.3">
      <c r="A1080" s="1" t="s">
        <v>1222</v>
      </c>
      <c r="B1080" s="1" t="str">
        <f ca="1">IFERROR(__xludf.DUMMYFUNCTION("GOOGLETRANSLATE(A1080, ""en"", ""fr"")"),"Défaites")</f>
        <v>Défaites</v>
      </c>
      <c r="D1080" s="1" t="s">
        <v>4963</v>
      </c>
    </row>
    <row r="1081" spans="1:4" ht="14.25" customHeight="1" x14ac:dyDescent="0.3">
      <c r="A1081" s="1" t="s">
        <v>1223</v>
      </c>
      <c r="B1081" s="1" t="str">
        <f ca="1">IFERROR(__xludf.DUMMYFUNCTION("GOOGLETRANSLATE(A1081, ""en"", ""fr"")"),"DÉFAUT")</f>
        <v>DÉFAUT</v>
      </c>
      <c r="D1081" s="1" t="s">
        <v>4963</v>
      </c>
    </row>
    <row r="1082" spans="1:4" ht="14.25" customHeight="1" x14ac:dyDescent="0.3">
      <c r="A1082" s="1" t="s">
        <v>1224</v>
      </c>
      <c r="B1082" s="1" t="str">
        <f ca="1">IFERROR(__xludf.DUMMYFUNCTION("GOOGLETRANSLATE(A1082, ""en"", ""fr"")"),"DÉFECTUEUX")</f>
        <v>DÉFECTUEUX</v>
      </c>
      <c r="D1082" s="1" t="s">
        <v>4963</v>
      </c>
    </row>
    <row r="1083" spans="1:4" ht="14.25" customHeight="1" x14ac:dyDescent="0.3">
      <c r="A1083" s="1" t="s">
        <v>1225</v>
      </c>
      <c r="B1083" s="1" t="str">
        <f ca="1">IFERROR(__xludf.DUMMYFUNCTION("GOOGLETRANSLATE(A1083, ""en"", ""fr"")"),"Défauts")</f>
        <v>Défauts</v>
      </c>
      <c r="D1083" s="1" t="s">
        <v>4963</v>
      </c>
    </row>
    <row r="1084" spans="1:4" ht="14.25" customHeight="1" x14ac:dyDescent="0.3">
      <c r="A1084" s="1" t="s">
        <v>1226</v>
      </c>
      <c r="B1084" s="1" t="str">
        <f ca="1">IFERROR(__xludf.DUMMYFUNCTION("GOOGLETRANSLATE(A1084, ""en"", ""fr"")"),"DÉFENDRE")</f>
        <v>DÉFENDRE</v>
      </c>
      <c r="D1084" s="1" t="s">
        <v>4963</v>
      </c>
    </row>
    <row r="1085" spans="1:4" ht="14.25" customHeight="1" x14ac:dyDescent="0.3">
      <c r="A1085" s="1" t="s">
        <v>1227</v>
      </c>
      <c r="B1085" s="1" t="str">
        <f ca="1">IFERROR(__xludf.DUMMYFUNCTION("GOOGLETRANSLATE(A1085, ""en"", ""fr"")"),"DÉFENDEUR")</f>
        <v>DÉFENDEUR</v>
      </c>
      <c r="D1085" s="1" t="s">
        <v>4963</v>
      </c>
    </row>
    <row r="1086" spans="1:4" ht="14.25" customHeight="1" x14ac:dyDescent="0.3">
      <c r="A1086" s="1" t="s">
        <v>1228</v>
      </c>
      <c r="B1086" s="1" t="str">
        <f ca="1">IFERROR(__xludf.DUMMYFUNCTION("GOOGLETRANSLATE(A1086, ""en"", ""fr"")"),"Défendeurs")</f>
        <v>Défendeurs</v>
      </c>
      <c r="D1086" s="1" t="s">
        <v>4963</v>
      </c>
    </row>
    <row r="1087" spans="1:4" ht="14.25" customHeight="1" x14ac:dyDescent="0.3">
      <c r="A1087" s="1" t="s">
        <v>1229</v>
      </c>
      <c r="B1087" s="1" t="str">
        <f ca="1">IFERROR(__xludf.DUMMYFUNCTION("GOOGLETRANSLATE(A1087, ""en"", ""fr"")"),"Défendu")</f>
        <v>Défendu</v>
      </c>
      <c r="D1087" s="1" t="s">
        <v>4963</v>
      </c>
    </row>
    <row r="1088" spans="1:4" ht="14.25" customHeight="1" x14ac:dyDescent="0.3">
      <c r="A1088" s="1" t="s">
        <v>1230</v>
      </c>
      <c r="B1088" s="1" t="str">
        <f ca="1">IFERROR(__xludf.DUMMYFUNCTION("GOOGLETRANSLATE(A1088, ""en"", ""fr"")"),"Entièrement")</f>
        <v>Entièrement</v>
      </c>
      <c r="D1088" s="1" t="s">
        <v>4963</v>
      </c>
    </row>
    <row r="1089" spans="1:96" ht="14.25" customHeight="1" x14ac:dyDescent="0.3">
      <c r="A1089" s="1" t="s">
        <v>1231</v>
      </c>
      <c r="B1089" s="1" t="str">
        <f ca="1">IFERROR(__xludf.DUMMYFUNCTION("GOOGLETRANSLATE(A1089, ""en"", ""fr"")"),"Défense")</f>
        <v>Défense</v>
      </c>
      <c r="D1089" s="1" t="s">
        <v>4963</v>
      </c>
    </row>
    <row r="1090" spans="1:96" ht="14.25" customHeight="1" x14ac:dyDescent="0.3">
      <c r="A1090" s="1" t="s">
        <v>1232</v>
      </c>
      <c r="B1090" s="1" t="str">
        <f ca="1">IFERROR(__xludf.DUMMYFUNCTION("GOOGLETRANSLATE(A1090, ""en"", ""fr"")"),"DÉFENSIVE")</f>
        <v>DÉFENSIVE</v>
      </c>
      <c r="D1090" s="1" t="s">
        <v>4963</v>
      </c>
    </row>
    <row r="1091" spans="1:96" ht="14.25" customHeight="1" x14ac:dyDescent="0.3">
      <c r="A1091" s="1" t="s">
        <v>1233</v>
      </c>
      <c r="B1091" s="1" t="str">
        <f ca="1">IFERROR(__xludf.DUMMYFUNCTION("GOOGLETRANSLATE(A1091, ""en"", ""fr"")"),"Opérations de marché ouvert défensif")</f>
        <v>Opérations de marché ouvert défensif</v>
      </c>
      <c r="M1091" s="1" t="s">
        <v>10</v>
      </c>
    </row>
    <row r="1092" spans="1:96" ht="14.25" customHeight="1" x14ac:dyDescent="0.3">
      <c r="A1092" s="1" t="s">
        <v>1234</v>
      </c>
      <c r="B1092" s="1" t="str">
        <f ca="1">IFERROR(__xludf.DUMMYFUNCTION("GOOGLETRANSLATE(A1092, ""en"", ""fr"")"),"REPORTER")</f>
        <v>REPORTER</v>
      </c>
      <c r="D1092" s="1" t="s">
        <v>4963</v>
      </c>
    </row>
    <row r="1093" spans="1:96" ht="14.25" customHeight="1" x14ac:dyDescent="0.3">
      <c r="A1093" s="1" t="s">
        <v>1235</v>
      </c>
      <c r="B1093" s="1" t="str">
        <f ca="1">IFERROR(__xludf.DUMMYFUNCTION("GOOGLETRANSLATE(A1093, ""en"", ""fr"")"),"revenus reportés")</f>
        <v>revenus reportés</v>
      </c>
      <c r="CR1093" s="1" t="s">
        <v>93</v>
      </c>
    </row>
    <row r="1094" spans="1:96" ht="14.25" customHeight="1" x14ac:dyDescent="0.3">
      <c r="A1094" s="1" t="s">
        <v>1236</v>
      </c>
      <c r="B1094" s="1" t="str">
        <f ca="1">IFERROR(__xludf.DUMMYFUNCTION("GOOGLETRANSLATE(A1094, ""en"", ""fr"")"),"Lacunes")</f>
        <v>Lacunes</v>
      </c>
      <c r="D1094" s="1" t="s">
        <v>4963</v>
      </c>
    </row>
    <row r="1095" spans="1:96" ht="14.25" customHeight="1" x14ac:dyDescent="0.3">
      <c r="A1095" s="1" t="s">
        <v>1237</v>
      </c>
      <c r="B1095" s="1" t="str">
        <f ca="1">IFERROR(__xludf.DUMMYFUNCTION("GOOGLETRANSLATE(A1095, ""en"", ""fr"")"),"CARENCE")</f>
        <v>CARENCE</v>
      </c>
      <c r="D1095" s="1" t="s">
        <v>4963</v>
      </c>
    </row>
    <row r="1096" spans="1:96" ht="14.25" customHeight="1" x14ac:dyDescent="0.3">
      <c r="A1096" s="1" t="s">
        <v>1238</v>
      </c>
      <c r="B1096" s="1" t="str">
        <f ca="1">IFERROR(__xludf.DUMMYFUNCTION("GOOGLETRANSLATE(A1096, ""en"", ""fr"")"),"Déficient")</f>
        <v>Déficient</v>
      </c>
      <c r="D1096" s="1" t="s">
        <v>4963</v>
      </c>
    </row>
    <row r="1097" spans="1:96" ht="14.25" customHeight="1" x14ac:dyDescent="0.3">
      <c r="A1097" s="1" t="s">
        <v>1239</v>
      </c>
      <c r="B1097" s="1" t="str">
        <f ca="1">IFERROR(__xludf.DUMMYFUNCTION("GOOGLETRANSLATE(A1097, ""en"", ""fr"")"),"DÉFICIT")</f>
        <v>DÉFICIT</v>
      </c>
      <c r="D1097" s="1" t="s">
        <v>4963</v>
      </c>
    </row>
    <row r="1098" spans="1:96" ht="14.25" customHeight="1" x14ac:dyDescent="0.3">
      <c r="A1098" s="1" t="s">
        <v>1240</v>
      </c>
      <c r="B1098" s="1" t="str">
        <f ca="1">IFERROR(__xludf.DUMMYFUNCTION("GOOGLETRANSLATE(A1098, ""en"", ""fr"")"),"Déficits")</f>
        <v>Déficits</v>
      </c>
      <c r="D1098" s="1" t="s">
        <v>4963</v>
      </c>
    </row>
    <row r="1099" spans="1:96" ht="14.25" customHeight="1" x14ac:dyDescent="0.3">
      <c r="A1099" s="1" t="s">
        <v>1241</v>
      </c>
      <c r="B1099" s="1" t="str">
        <f ca="1">IFERROR(__xludf.DUMMYFUNCTION("GOOGLETRANSLATE(A1099, ""en"", ""fr"")"),"déflation")</f>
        <v>déflation</v>
      </c>
      <c r="M1099" s="1" t="s">
        <v>10</v>
      </c>
    </row>
    <row r="1100" spans="1:96" ht="14.25" customHeight="1" x14ac:dyDescent="0.3">
      <c r="A1100" s="1" t="s">
        <v>1242</v>
      </c>
      <c r="B1100" s="1" t="str">
        <f ca="1">IFERROR(__xludf.DUMMYFUNCTION("GOOGLETRANSLATE(A1100, ""en"", ""fr"")"),"politique déflationniste")</f>
        <v>politique déflationniste</v>
      </c>
      <c r="M1100" s="1" t="s">
        <v>10</v>
      </c>
    </row>
    <row r="1101" spans="1:96" ht="14.25" customHeight="1" x14ac:dyDescent="0.3">
      <c r="A1101" s="1" t="s">
        <v>1243</v>
      </c>
      <c r="B1101" s="1" t="str">
        <f ca="1">IFERROR(__xludf.DUMMYFUNCTION("GOOGLETRANSLATE(A1101, ""en"", ""fr"")"),"spirale déflationniste")</f>
        <v>spirale déflationniste</v>
      </c>
      <c r="M1101" s="1" t="s">
        <v>10</v>
      </c>
    </row>
    <row r="1102" spans="1:96" ht="14.25" customHeight="1" x14ac:dyDescent="0.3">
      <c r="A1102" s="1" t="s">
        <v>1244</v>
      </c>
      <c r="B1102" s="1" t="str">
        <f ca="1">IFERROR(__xludf.DUMMYFUNCTION("GOOGLETRANSLATE(A1102, ""en"", ""fr"")"),"déflateur")</f>
        <v>déflateur</v>
      </c>
      <c r="M1102" s="1" t="s">
        <v>10</v>
      </c>
    </row>
    <row r="1103" spans="1:96" ht="14.25" customHeight="1" x14ac:dyDescent="0.3">
      <c r="A1103" s="1" t="s">
        <v>1245</v>
      </c>
      <c r="B1103" s="1" t="str">
        <f ca="1">IFERROR(__xludf.DUMMYFUNCTION("GOOGLETRANSLATE(A1103, ""en"", ""fr"")"),"FRAUDER")</f>
        <v>FRAUDER</v>
      </c>
      <c r="D1103" s="1" t="s">
        <v>4963</v>
      </c>
    </row>
    <row r="1104" spans="1:96" ht="14.25" customHeight="1" x14ac:dyDescent="0.3">
      <c r="A1104" s="1" t="s">
        <v>1246</v>
      </c>
      <c r="B1104" s="1" t="str">
        <f ca="1">IFERROR(__xludf.DUMMYFUNCTION("GOOGLETRANSLATE(A1104, ""en"", ""fr"")"),"Fraudé")</f>
        <v>Fraudé</v>
      </c>
      <c r="D1104" s="1" t="s">
        <v>4963</v>
      </c>
    </row>
    <row r="1105" spans="1:4" ht="14.25" customHeight="1" x14ac:dyDescent="0.3">
      <c r="A1105" s="1" t="s">
        <v>1247</v>
      </c>
      <c r="B1105" s="1" t="str">
        <f ca="1">IFERROR(__xludf.DUMMYFUNCTION("GOOGLETRANSLATE(A1105, ""en"", ""fr"")"),"Fracture")</f>
        <v>Fracture</v>
      </c>
      <c r="D1105" s="1" t="s">
        <v>4963</v>
      </c>
    </row>
    <row r="1106" spans="1:4" ht="14.25" customHeight="1" x14ac:dyDescent="0.3">
      <c r="A1106" s="1" t="s">
        <v>1248</v>
      </c>
      <c r="B1106" s="1" t="str">
        <f ca="1">IFERROR(__xludf.DUMMYFUNCTION("GOOGLETRANSLATE(A1106, ""en"", ""fr"")"),"Frauder")</f>
        <v>Frauder</v>
      </c>
      <c r="D1106" s="1" t="s">
        <v>4963</v>
      </c>
    </row>
    <row r="1107" spans="1:4" ht="14.25" customHeight="1" x14ac:dyDescent="0.3">
      <c r="A1107" s="1" t="s">
        <v>1249</v>
      </c>
      <c r="B1107" s="1" t="str">
        <f ca="1">IFERROR(__xludf.DUMMYFUNCTION("GOOGLETRANSLATE(A1107, ""en"", ""fr"")"),"DÉFUNT")</f>
        <v>DÉFUNT</v>
      </c>
      <c r="D1107" s="1" t="s">
        <v>4963</v>
      </c>
    </row>
    <row r="1108" spans="1:4" ht="14.25" customHeight="1" x14ac:dyDescent="0.3">
      <c r="A1108" s="1" t="s">
        <v>1250</v>
      </c>
      <c r="B1108" s="1" t="str">
        <f ca="1">IFERROR(__xludf.DUMMYFUNCTION("GOOGLETRANSLATE(A1108, ""en"", ""fr"")"),"DÉGRADATION")</f>
        <v>DÉGRADATION</v>
      </c>
      <c r="D1108" s="1" t="s">
        <v>4963</v>
      </c>
    </row>
    <row r="1109" spans="1:4" ht="14.25" customHeight="1" x14ac:dyDescent="0.3">
      <c r="A1109" s="1" t="s">
        <v>1251</v>
      </c>
      <c r="B1109" s="1" t="str">
        <f ca="1">IFERROR(__xludf.DUMMYFUNCTION("GOOGLETRANSLATE(A1109, ""en"", ""fr"")"),"Dégradations")</f>
        <v>Dégradations</v>
      </c>
      <c r="D1109" s="1" t="s">
        <v>4963</v>
      </c>
    </row>
    <row r="1110" spans="1:4" ht="14.25" customHeight="1" x14ac:dyDescent="0.3">
      <c r="A1110" s="1" t="s">
        <v>1252</v>
      </c>
      <c r="B1110" s="1" t="str">
        <f ca="1">IFERROR(__xludf.DUMMYFUNCTION("GOOGLETRANSLATE(A1110, ""en"", ""fr"")"),"DÉGRADER")</f>
        <v>DÉGRADER</v>
      </c>
      <c r="D1110" s="1" t="s">
        <v>4963</v>
      </c>
    </row>
    <row r="1111" spans="1:4" ht="14.25" customHeight="1" x14ac:dyDescent="0.3">
      <c r="A1111" s="1" t="s">
        <v>1253</v>
      </c>
      <c r="B1111" s="1" t="str">
        <f ca="1">IFERROR(__xludf.DUMMYFUNCTION("GOOGLETRANSLATE(A1111, ""en"", ""fr"")"),"Dégradé")</f>
        <v>Dégradé</v>
      </c>
      <c r="D1111" s="1" t="s">
        <v>4963</v>
      </c>
    </row>
    <row r="1112" spans="1:4" ht="14.25" customHeight="1" x14ac:dyDescent="0.3">
      <c r="A1112" s="1" t="s">
        <v>1254</v>
      </c>
      <c r="B1112" s="1" t="str">
        <f ca="1">IFERROR(__xludf.DUMMYFUNCTION("GOOGLETRANSLATE(A1112, ""en"", ""fr"")"),"SE DÉGRADE")</f>
        <v>SE DÉGRADE</v>
      </c>
      <c r="D1112" s="1" t="s">
        <v>4963</v>
      </c>
    </row>
    <row r="1113" spans="1:4" ht="14.25" customHeight="1" x14ac:dyDescent="0.3">
      <c r="A1113" s="1" t="s">
        <v>1255</v>
      </c>
      <c r="B1113" s="1" t="str">
        <f ca="1">IFERROR(__xludf.DUMMYFUNCTION("GOOGLETRANSLATE(A1113, ""en"", ""fr"")"),"DÉGRADANT")</f>
        <v>DÉGRADANT</v>
      </c>
      <c r="D1113" s="1" t="s">
        <v>4963</v>
      </c>
    </row>
    <row r="1114" spans="1:4" ht="14.25" customHeight="1" x14ac:dyDescent="0.3">
      <c r="A1114" s="1" t="s">
        <v>1256</v>
      </c>
      <c r="B1114" s="1" t="str">
        <f ca="1">IFERROR(__xludf.DUMMYFUNCTION("GOOGLETRANSLATE(A1114, ""en"", ""fr"")"),"RETARD")</f>
        <v>RETARD</v>
      </c>
      <c r="D1114" s="1" t="s">
        <v>4963</v>
      </c>
    </row>
    <row r="1115" spans="1:4" ht="14.25" customHeight="1" x14ac:dyDescent="0.3">
      <c r="A1115" s="1" t="s">
        <v>1257</v>
      </c>
      <c r="B1115" s="1" t="str">
        <f ca="1">IFERROR(__xludf.DUMMYFUNCTION("GOOGLETRANSLATE(A1115, ""en"", ""fr"")"),"RETARDÉ")</f>
        <v>RETARDÉ</v>
      </c>
      <c r="D1115" s="1" t="s">
        <v>4963</v>
      </c>
    </row>
    <row r="1116" spans="1:4" ht="14.25" customHeight="1" x14ac:dyDescent="0.3">
      <c r="A1116" s="1" t="s">
        <v>1258</v>
      </c>
      <c r="B1116" s="1" t="str">
        <f ca="1">IFERROR(__xludf.DUMMYFUNCTION("GOOGLETRANSLATE(A1116, ""en"", ""fr"")"),"DILATOIRE")</f>
        <v>DILATOIRE</v>
      </c>
      <c r="D1116" s="1" t="s">
        <v>4963</v>
      </c>
    </row>
    <row r="1117" spans="1:4" ht="14.25" customHeight="1" x14ac:dyDescent="0.3">
      <c r="A1117" s="1" t="s">
        <v>1259</v>
      </c>
      <c r="B1117" s="1" t="str">
        <f ca="1">IFERROR(__xludf.DUMMYFUNCTION("GOOGLETRANSLATE(A1117, ""en"", ""fr"")"),"Retards")</f>
        <v>Retards</v>
      </c>
      <c r="D1117" s="1" t="s">
        <v>4963</v>
      </c>
    </row>
    <row r="1118" spans="1:4" ht="14.25" customHeight="1" x14ac:dyDescent="0.3">
      <c r="A1118" s="1" t="s">
        <v>1260</v>
      </c>
      <c r="B1118" s="1" t="str">
        <f ca="1">IFERROR(__xludf.DUMMYFUNCTION("GOOGLETRANSLATE(A1118, ""en"", ""fr"")"),"DÉLÉTÈRE")</f>
        <v>DÉLÉTÈRE</v>
      </c>
      <c r="D1118" s="1" t="s">
        <v>4963</v>
      </c>
    </row>
    <row r="1119" spans="1:4" ht="14.25" customHeight="1" x14ac:dyDescent="0.3">
      <c r="A1119" s="1" t="s">
        <v>1261</v>
      </c>
      <c r="B1119" s="1" t="str">
        <f ca="1">IFERROR(__xludf.DUMMYFUNCTION("GOOGLETRANSLATE(A1119, ""en"", ""fr"")"),"VOLONTAIRE")</f>
        <v>VOLONTAIRE</v>
      </c>
      <c r="D1119" s="1" t="s">
        <v>4963</v>
      </c>
    </row>
    <row r="1120" spans="1:4" ht="14.25" customHeight="1" x14ac:dyDescent="0.3">
      <c r="A1120" s="1" t="s">
        <v>1262</v>
      </c>
      <c r="B1120" s="1" t="str">
        <f ca="1">IFERROR(__xludf.DUMMYFUNCTION("GOOGLETRANSLATE(A1120, ""en"", ""fr"")"),"Délibéré")</f>
        <v>Délibéré</v>
      </c>
      <c r="D1120" s="1" t="s">
        <v>4963</v>
      </c>
    </row>
    <row r="1121" spans="1:8" ht="14.25" customHeight="1" x14ac:dyDescent="0.3">
      <c r="A1121" s="1" t="s">
        <v>1263</v>
      </c>
      <c r="B1121" s="1" t="str">
        <f ca="1">IFERROR(__xludf.DUMMYFUNCTION("GOOGLETRANSLATE(A1121, ""en"", ""fr"")"),"DÉLIBÉRÉMENT")</f>
        <v>DÉLIBÉRÉMENT</v>
      </c>
      <c r="D1121" s="1" t="s">
        <v>4963</v>
      </c>
    </row>
    <row r="1122" spans="1:8" ht="14.25" customHeight="1" x14ac:dyDescent="0.3">
      <c r="A1122" s="1" t="s">
        <v>1264</v>
      </c>
      <c r="B1122" s="1" t="str">
        <f ca="1">IFERROR(__xludf.DUMMYFUNCTION("GOOGLETRANSLATE(A1122, ""en"", ""fr"")"),"PLAISIR")</f>
        <v>PLAISIR</v>
      </c>
      <c r="H1122" s="1" t="s">
        <v>4964</v>
      </c>
    </row>
    <row r="1123" spans="1:8" ht="14.25" customHeight="1" x14ac:dyDescent="0.3">
      <c r="A1123" s="1" t="s">
        <v>1265</v>
      </c>
      <c r="B1123" s="1" t="str">
        <f ca="1">IFERROR(__xludf.DUMMYFUNCTION("GOOGLETRANSLATE(A1123, ""en"", ""fr"")"),"RAVI")</f>
        <v>RAVI</v>
      </c>
      <c r="H1123" s="1" t="s">
        <v>4964</v>
      </c>
    </row>
    <row r="1124" spans="1:8" ht="14.25" customHeight="1" x14ac:dyDescent="0.3">
      <c r="A1124" s="1" t="s">
        <v>1266</v>
      </c>
      <c r="B1124" s="1" t="str">
        <f ca="1">IFERROR(__xludf.DUMMYFUNCTION("GOOGLETRANSLATE(A1124, ""en"", ""fr"")"),"DÉLICIEUX")</f>
        <v>DÉLICIEUX</v>
      </c>
      <c r="H1124" s="1" t="s">
        <v>4964</v>
      </c>
    </row>
    <row r="1125" spans="1:8" ht="14.25" customHeight="1" x14ac:dyDescent="0.3">
      <c r="A1125" s="1" t="s">
        <v>1267</v>
      </c>
      <c r="B1125" s="1" t="str">
        <f ca="1">IFERROR(__xludf.DUMMYFUNCTION("GOOGLETRANSLATE(A1125, ""en"", ""fr"")"),"DÉLICIEUSEMENT")</f>
        <v>DÉLICIEUSEMENT</v>
      </c>
      <c r="H1125" s="1" t="s">
        <v>4964</v>
      </c>
    </row>
    <row r="1126" spans="1:8" ht="14.25" customHeight="1" x14ac:dyDescent="0.3">
      <c r="A1126" s="1" t="s">
        <v>1268</v>
      </c>
      <c r="B1126" s="1" t="str">
        <f ca="1">IFERROR(__xludf.DUMMYFUNCTION("GOOGLETRANSLATE(A1126, ""en"", ""fr"")"),"Délicieux")</f>
        <v>Délicieux</v>
      </c>
      <c r="H1126" s="1" t="s">
        <v>4964</v>
      </c>
    </row>
    <row r="1127" spans="1:8" ht="14.25" customHeight="1" x14ac:dyDescent="0.3">
      <c r="A1127" s="1" t="s">
        <v>1269</v>
      </c>
      <c r="B1127" s="1" t="str">
        <f ca="1">IFERROR(__xludf.DUMMYFUNCTION("GOOGLETRANSLATE(A1127, ""en"", ""fr"")"),"Délices")</f>
        <v>Délices</v>
      </c>
      <c r="H1127" s="1" t="s">
        <v>4964</v>
      </c>
    </row>
    <row r="1128" spans="1:8" ht="14.25" customHeight="1" x14ac:dyDescent="0.3">
      <c r="A1128" s="1" t="s">
        <v>1270</v>
      </c>
      <c r="B1128" s="1" t="str">
        <f ca="1">IFERROR(__xludf.DUMMYFUNCTION("GOOGLETRANSLATE(A1128, ""en"", ""fr"")"),"Bien de la délimitation")</f>
        <v>Bien de la délimitation</v>
      </c>
      <c r="E1128" s="1" t="s">
        <v>3</v>
      </c>
    </row>
    <row r="1129" spans="1:8" ht="14.25" customHeight="1" x14ac:dyDescent="0.3">
      <c r="A1129" s="1" t="s">
        <v>1271</v>
      </c>
      <c r="B1129" s="1" t="str">
        <f ca="1">IFERROR(__xludf.DUMMYFUNCTION("GOOGLETRANSLATE(A1129, ""en"", ""fr"")"),"Défauts")</f>
        <v>Défauts</v>
      </c>
      <c r="D1129" s="1" t="s">
        <v>4963</v>
      </c>
    </row>
    <row r="1130" spans="1:8" ht="14.25" customHeight="1" x14ac:dyDescent="0.3">
      <c r="A1130" s="1" t="s">
        <v>1272</v>
      </c>
      <c r="B1130" s="1" t="str">
        <f ca="1">IFERROR(__xludf.DUMMYFUNCTION("GOOGLETRANSLATE(A1130, ""en"", ""fr"")"),"DÉLINQUANCE")</f>
        <v>DÉLINQUANCE</v>
      </c>
      <c r="D1130" s="1" t="s">
        <v>4963</v>
      </c>
    </row>
    <row r="1131" spans="1:8" ht="14.25" customHeight="1" x14ac:dyDescent="0.3">
      <c r="A1131" s="1" t="s">
        <v>1273</v>
      </c>
      <c r="B1131" s="1" t="str">
        <f ca="1">IFERROR(__xludf.DUMMYFUNCTION("GOOGLETRANSLATE(A1131, ""en"", ""fr"")"),"DÉLINQUANT")</f>
        <v>DÉLINQUANT</v>
      </c>
      <c r="D1131" s="1" t="s">
        <v>4963</v>
      </c>
    </row>
    <row r="1132" spans="1:8" ht="14.25" customHeight="1" x14ac:dyDescent="0.3">
      <c r="A1132" s="1" t="s">
        <v>1274</v>
      </c>
      <c r="B1132" s="1" t="str">
        <f ca="1">IFERROR(__xludf.DUMMYFUNCTION("GOOGLETRANSLATE(A1132, ""en"", ""fr"")"),"Définitivement")</f>
        <v>Définitivement</v>
      </c>
      <c r="D1132" s="1" t="s">
        <v>4963</v>
      </c>
    </row>
    <row r="1133" spans="1:8" ht="14.25" customHeight="1" x14ac:dyDescent="0.3">
      <c r="A1133" s="1" t="s">
        <v>1275</v>
      </c>
      <c r="B1133" s="1" t="str">
        <f ca="1">IFERROR(__xludf.DUMMYFUNCTION("GOOGLETRANSLATE(A1133, ""en"", ""fr"")"),"Délinquants")</f>
        <v>Délinquants</v>
      </c>
      <c r="D1133" s="1" t="s">
        <v>4963</v>
      </c>
    </row>
    <row r="1134" spans="1:8" ht="14.25" customHeight="1" x14ac:dyDescent="0.3">
      <c r="A1134" s="1" t="s">
        <v>1276</v>
      </c>
      <c r="B1134" s="1" t="str">
        <f ca="1">IFERROR(__xludf.DUMMYFUNCTION("GOOGLETRANSLATE(A1134, ""en"", ""fr"")"),"Mettre en place")</f>
        <v>Mettre en place</v>
      </c>
      <c r="D1134" s="1" t="s">
        <v>4963</v>
      </c>
    </row>
    <row r="1135" spans="1:8" ht="14.25" customHeight="1" x14ac:dyDescent="0.3">
      <c r="A1135" s="1" t="s">
        <v>1277</v>
      </c>
      <c r="B1135" s="1" t="str">
        <f ca="1">IFERROR(__xludf.DUMMYFUNCTION("GOOGLETRANSLATE(A1135, ""en"", ""fr"")"),"Radié")</f>
        <v>Radié</v>
      </c>
      <c r="D1135" s="1" t="s">
        <v>4963</v>
      </c>
    </row>
    <row r="1136" spans="1:8" ht="14.25" customHeight="1" x14ac:dyDescent="0.3">
      <c r="A1136" s="1" t="s">
        <v>1278</v>
      </c>
      <c r="B1136" s="1" t="str">
        <f ca="1">IFERROR(__xludf.DUMMYFUNCTION("GOOGLETRANSLATE(A1136, ""en"", ""fr"")"),"Radiation")</f>
        <v>Radiation</v>
      </c>
      <c r="D1136" s="1" t="s">
        <v>4963</v>
      </c>
    </row>
    <row r="1137" spans="1:13" ht="14.25" customHeight="1" x14ac:dyDescent="0.3">
      <c r="A1137" s="1" t="s">
        <v>1279</v>
      </c>
      <c r="B1137" s="1" t="str">
        <f ca="1">IFERROR(__xludf.DUMMYFUNCTION("GOOGLETRANSLATE(A1137, ""en"", ""fr"")"),"Raconté")</f>
        <v>Raconté</v>
      </c>
      <c r="D1137" s="1" t="s">
        <v>4963</v>
      </c>
    </row>
    <row r="1138" spans="1:13" ht="14.25" customHeight="1" x14ac:dyDescent="0.3">
      <c r="A1138" s="1" t="s">
        <v>1280</v>
      </c>
      <c r="B1138" s="1" t="str">
        <f ca="1">IFERROR(__xludf.DUMMYFUNCTION("GOOGLETRANSLATE(A1138, ""en"", ""fr"")"),"demande")</f>
        <v>demande</v>
      </c>
      <c r="M1138" s="1" t="s">
        <v>10</v>
      </c>
    </row>
    <row r="1139" spans="1:13" ht="14.25" customHeight="1" x14ac:dyDescent="0.3">
      <c r="A1139" s="1" t="s">
        <v>1281</v>
      </c>
      <c r="B1139" s="1" t="str">
        <f ca="1">IFERROR(__xludf.DUMMYFUNCTION("GOOGLETRANSLATE(A1139, ""en"", ""fr"")"),"courbe de la demande")</f>
        <v>courbe de la demande</v>
      </c>
      <c r="M1139" s="1" t="s">
        <v>10</v>
      </c>
    </row>
    <row r="1140" spans="1:13" ht="14.25" customHeight="1" x14ac:dyDescent="0.3">
      <c r="A1140" s="1" t="s">
        <v>1282</v>
      </c>
      <c r="B1140" s="1" t="str">
        <f ca="1">IFERROR(__xludf.DUMMYFUNCTION("GOOGLETRANSLATE(A1140, ""en"", ""fr"")"),"exiger l'élasticité")</f>
        <v>exiger l'élasticité</v>
      </c>
      <c r="M1140" s="1" t="s">
        <v>10</v>
      </c>
    </row>
    <row r="1141" spans="1:13" ht="14.25" customHeight="1" x14ac:dyDescent="0.3">
      <c r="A1141" s="1" t="s">
        <v>1283</v>
      </c>
      <c r="B1141" s="1" t="str">
        <f ca="1">IFERROR(__xludf.DUMMYFUNCTION("GOOGLETRANSLATE(A1141, ""en"", ""fr"")"),"exiger l'inflation")</f>
        <v>exiger l'inflation</v>
      </c>
      <c r="M1141" s="1" t="s">
        <v>10</v>
      </c>
    </row>
    <row r="1142" spans="1:13" ht="14.25" customHeight="1" x14ac:dyDescent="0.3">
      <c r="A1142" s="1" t="s">
        <v>1284</v>
      </c>
      <c r="B1142" s="1" t="str">
        <f ca="1">IFERROR(__xludf.DUMMYFUNCTION("GOOGLETRANSLATE(A1142, ""en"", ""fr"")"),"horaire de la demande")</f>
        <v>horaire de la demande</v>
      </c>
      <c r="M1142" s="1" t="s">
        <v>10</v>
      </c>
    </row>
    <row r="1143" spans="1:13" ht="14.25" customHeight="1" x14ac:dyDescent="0.3">
      <c r="A1143" s="1" t="s">
        <v>1285</v>
      </c>
      <c r="B1143" s="1" t="str">
        <f ca="1">IFERROR(__xludf.DUMMYFUNCTION("GOOGLETRANSLATE(A1143, ""en"", ""fr"")"),"Demand pull inflation")</f>
        <v>Demand pull inflation</v>
      </c>
      <c r="M1143" s="1" t="s">
        <v>10</v>
      </c>
    </row>
    <row r="1144" spans="1:13" ht="14.25" customHeight="1" x14ac:dyDescent="0.3">
      <c r="A1144" s="1" t="s">
        <v>1286</v>
      </c>
      <c r="B1144" s="1" t="str">
        <f ca="1">IFERROR(__xludf.DUMMYFUNCTION("GOOGLETRANSLATE(A1144, ""en"", ""fr"")"),"DISPARITION")</f>
        <v>DISPARITION</v>
      </c>
      <c r="D1144" s="1" t="s">
        <v>4963</v>
      </c>
    </row>
    <row r="1145" spans="1:13" ht="14.25" customHeight="1" x14ac:dyDescent="0.3">
      <c r="A1145" s="1" t="s">
        <v>1287</v>
      </c>
      <c r="B1145" s="1" t="str">
        <f ca="1">IFERROR(__xludf.DUMMYFUNCTION("GOOGLETRANSLATE(A1145, ""en"", ""fr"")"),"Détiré")</f>
        <v>Détiré</v>
      </c>
      <c r="D1145" s="1" t="s">
        <v>4963</v>
      </c>
    </row>
    <row r="1146" spans="1:13" ht="14.25" customHeight="1" x14ac:dyDescent="0.3">
      <c r="A1146" s="1" t="s">
        <v>1288</v>
      </c>
      <c r="B1146" s="1" t="str">
        <f ca="1">IFERROR(__xludf.DUMMYFUNCTION("GOOGLETRANSLATE(A1146, ""en"", ""fr"")"),"Baisse")</f>
        <v>Baisse</v>
      </c>
      <c r="D1146" s="1" t="s">
        <v>4963</v>
      </c>
    </row>
    <row r="1147" spans="1:13" ht="14.25" customHeight="1" x14ac:dyDescent="0.3">
      <c r="A1147" s="1" t="s">
        <v>1289</v>
      </c>
      <c r="B1147" s="1" t="str">
        <f ca="1">IFERROR(__xludf.DUMMYFUNCTION("GOOGLETRANSLATE(A1147, ""en"", ""fr"")"),"Déduisant")</f>
        <v>Déduisant</v>
      </c>
      <c r="D1147" s="1" t="s">
        <v>4963</v>
      </c>
    </row>
    <row r="1148" spans="1:13" ht="14.25" customHeight="1" x14ac:dyDescent="0.3">
      <c r="A1148" s="1" t="s">
        <v>1290</v>
      </c>
      <c r="B1148" s="1" t="str">
        <f ca="1">IFERROR(__xludf.DUMMYFUNCTION("GOOGLETRANSLATE(A1148, ""en"", ""fr"")"),"démographie")</f>
        <v>démographie</v>
      </c>
      <c r="M1148" s="1" t="s">
        <v>10</v>
      </c>
    </row>
    <row r="1149" spans="1:13" ht="14.25" customHeight="1" x14ac:dyDescent="0.3">
      <c r="A1149" s="1" t="s">
        <v>1291</v>
      </c>
      <c r="B1149" s="1" t="str">
        <f ca="1">IFERROR(__xludf.DUMMYFUNCTION("GOOGLETRANSLATE(A1149, ""en"", ""fr"")"),"DÉMOLIR")</f>
        <v>DÉMOLIR</v>
      </c>
      <c r="D1149" s="1" t="s">
        <v>4963</v>
      </c>
    </row>
    <row r="1150" spans="1:13" ht="14.25" customHeight="1" x14ac:dyDescent="0.3">
      <c r="A1150" s="1" t="s">
        <v>1292</v>
      </c>
      <c r="B1150" s="1" t="str">
        <f ca="1">IFERROR(__xludf.DUMMYFUNCTION("GOOGLETRANSLATE(A1150, ""en"", ""fr"")"),"Démoli")</f>
        <v>Démoli</v>
      </c>
      <c r="D1150" s="1" t="s">
        <v>4963</v>
      </c>
    </row>
    <row r="1151" spans="1:13" ht="14.25" customHeight="1" x14ac:dyDescent="0.3">
      <c r="A1151" s="1" t="s">
        <v>1293</v>
      </c>
      <c r="B1151" s="1" t="str">
        <f ca="1">IFERROR(__xludf.DUMMYFUNCTION("GOOGLETRANSLATE(A1151, ""en"", ""fr"")"),"Démolir")</f>
        <v>Démolir</v>
      </c>
      <c r="D1151" s="1" t="s">
        <v>4963</v>
      </c>
    </row>
    <row r="1152" spans="1:13" ht="14.25" customHeight="1" x14ac:dyDescent="0.3">
      <c r="A1152" s="1" t="s">
        <v>1294</v>
      </c>
      <c r="B1152" s="1" t="str">
        <f ca="1">IFERROR(__xludf.DUMMYFUNCTION("GOOGLETRANSLATE(A1152, ""en"", ""fr"")"),"Démolition")</f>
        <v>Démolition</v>
      </c>
      <c r="D1152" s="1" t="s">
        <v>4963</v>
      </c>
    </row>
    <row r="1153" spans="1:13" ht="14.25" customHeight="1" x14ac:dyDescent="0.3">
      <c r="A1153" s="1" t="s">
        <v>1295</v>
      </c>
      <c r="B1153" s="1" t="str">
        <f ca="1">IFERROR(__xludf.DUMMYFUNCTION("GOOGLETRANSLATE(A1153, ""en"", ""fr"")"),"DÉMOLITION")</f>
        <v>DÉMOLITION</v>
      </c>
      <c r="D1153" s="1" t="s">
        <v>4963</v>
      </c>
    </row>
    <row r="1154" spans="1:13" ht="14.25" customHeight="1" x14ac:dyDescent="0.3">
      <c r="A1154" s="1" t="s">
        <v>1296</v>
      </c>
      <c r="B1154" s="1" t="str">
        <f ca="1">IFERROR(__xludf.DUMMYFUNCTION("GOOGLETRANSLATE(A1154, ""en"", ""fr"")"),"Démolition")</f>
        <v>Démolition</v>
      </c>
      <c r="D1154" s="1" t="s">
        <v>4963</v>
      </c>
    </row>
    <row r="1155" spans="1:13" ht="14.25" customHeight="1" x14ac:dyDescent="0.3">
      <c r="A1155" s="1" t="s">
        <v>1297</v>
      </c>
      <c r="B1155" s="1" t="str">
        <f ca="1">IFERROR(__xludf.DUMMYFUNCTION("GOOGLETRANSLATE(A1155, ""en"", ""fr"")"),"démonétisation")</f>
        <v>démonétisation</v>
      </c>
      <c r="M1155" s="1" t="s">
        <v>10</v>
      </c>
    </row>
    <row r="1156" spans="1:13" ht="14.25" customHeight="1" x14ac:dyDescent="0.3">
      <c r="A1156" s="1" t="s">
        <v>1298</v>
      </c>
      <c r="B1156" s="1" t="str">
        <f ca="1">IFERROR(__xludf.DUMMYFUNCTION("GOOGLETRANSLATE(A1156, ""en"", ""fr"")"),"RÉTROGRADER")</f>
        <v>RÉTROGRADER</v>
      </c>
      <c r="D1156" s="1" t="s">
        <v>4963</v>
      </c>
    </row>
    <row r="1157" spans="1:13" ht="14.25" customHeight="1" x14ac:dyDescent="0.3">
      <c r="A1157" s="1" t="s">
        <v>1299</v>
      </c>
      <c r="B1157" s="1" t="str">
        <f ca="1">IFERROR(__xludf.DUMMYFUNCTION("GOOGLETRANSLATE(A1157, ""en"", ""fr"")"),"Rétrogradé")</f>
        <v>Rétrogradé</v>
      </c>
      <c r="D1157" s="1" t="s">
        <v>4963</v>
      </c>
    </row>
    <row r="1158" spans="1:13" ht="14.25" customHeight="1" x14ac:dyDescent="0.3">
      <c r="A1158" s="1" t="s">
        <v>1300</v>
      </c>
      <c r="B1158" s="1" t="str">
        <f ca="1">IFERROR(__xludf.DUMMYFUNCTION("GOOGLETRANSLATE(A1158, ""en"", ""fr"")"),"Démo")</f>
        <v>Démo</v>
      </c>
      <c r="D1158" s="1" t="s">
        <v>4963</v>
      </c>
    </row>
    <row r="1159" spans="1:13" ht="14.25" customHeight="1" x14ac:dyDescent="0.3">
      <c r="A1159" s="1" t="s">
        <v>1301</v>
      </c>
      <c r="B1159" s="1" t="str">
        <f ca="1">IFERROR(__xludf.DUMMYFUNCTION("GOOGLETRANSLATE(A1159, ""en"", ""fr"")"),"Démêlant")</f>
        <v>Démêlant</v>
      </c>
      <c r="D1159" s="1" t="s">
        <v>4963</v>
      </c>
    </row>
    <row r="1160" spans="1:13" ht="14.25" customHeight="1" x14ac:dyDescent="0.3">
      <c r="A1160" s="1" t="s">
        <v>1302</v>
      </c>
      <c r="B1160" s="1" t="str">
        <f ca="1">IFERROR(__xludf.DUMMYFUNCTION("GOOGLETRANSLATE(A1160, ""en"", ""fr"")"),"RÉTROGRADATION")</f>
        <v>RÉTROGRADATION</v>
      </c>
      <c r="D1160" s="1" t="s">
        <v>4963</v>
      </c>
    </row>
    <row r="1161" spans="1:13" ht="14.25" customHeight="1" x14ac:dyDescent="0.3">
      <c r="A1161" s="1" t="s">
        <v>1303</v>
      </c>
      <c r="B1161" s="1" t="str">
        <f ca="1">IFERROR(__xludf.DUMMYFUNCTION("GOOGLETRANSLATE(A1161, ""en"", ""fr"")"),"Démotions")</f>
        <v>Démotions</v>
      </c>
      <c r="D1161" s="1" t="s">
        <v>4963</v>
      </c>
    </row>
    <row r="1162" spans="1:13" ht="14.25" customHeight="1" x14ac:dyDescent="0.3">
      <c r="A1162" s="1" t="s">
        <v>1304</v>
      </c>
      <c r="B1162" s="1" t="str">
        <f ca="1">IFERROR(__xludf.DUMMYFUNCTION("GOOGLETRANSLATE(A1162, ""en"", ""fr"")"),"Démulsibilité")</f>
        <v>Démulsibilité</v>
      </c>
      <c r="E1162" s="1" t="s">
        <v>3</v>
      </c>
    </row>
    <row r="1163" spans="1:13" ht="14.25" customHeight="1" x14ac:dyDescent="0.3">
      <c r="A1163" s="1" t="s">
        <v>1305</v>
      </c>
      <c r="B1163" s="1" t="str">
        <f ca="1">IFERROR(__xludf.DUMMYFUNCTION("GOOGLETRANSLATE(A1163, ""en"", ""fr"")"),"dénationalisation")</f>
        <v>dénationalisation</v>
      </c>
      <c r="M1163" s="1" t="s">
        <v>10</v>
      </c>
    </row>
    <row r="1164" spans="1:13" ht="14.25" customHeight="1" x14ac:dyDescent="0.3">
      <c r="A1164" s="1" t="s">
        <v>1306</v>
      </c>
      <c r="B1164" s="1" t="str">
        <f ca="1">IFERROR(__xludf.DUMMYFUNCTION("GOOGLETRANSLATE(A1164, ""en"", ""fr"")"),"LE DÉNI")</f>
        <v>LE DÉNI</v>
      </c>
      <c r="D1164" s="1" t="s">
        <v>4963</v>
      </c>
    </row>
    <row r="1165" spans="1:13" ht="14.25" customHeight="1" x14ac:dyDescent="0.3">
      <c r="A1165" s="1" t="s">
        <v>1307</v>
      </c>
      <c r="B1165" s="1" t="str">
        <f ca="1">IFERROR(__xludf.DUMMYFUNCTION("GOOGLETRANSLATE(A1165, ""en"", ""fr"")"),"Refus")</f>
        <v>Refus</v>
      </c>
      <c r="D1165" s="1" t="s">
        <v>4963</v>
      </c>
    </row>
    <row r="1166" spans="1:13" ht="14.25" customHeight="1" x14ac:dyDescent="0.3">
      <c r="A1166" s="1" t="s">
        <v>1308</v>
      </c>
      <c r="B1166" s="1" t="str">
        <f ca="1">IFERROR(__xludf.DUMMYFUNCTION("GOOGLETRANSLATE(A1166, ""en"", ""fr"")"),"REFUSÉ")</f>
        <v>REFUSÉ</v>
      </c>
      <c r="D1166" s="1" t="s">
        <v>4963</v>
      </c>
    </row>
    <row r="1167" spans="1:13" ht="14.25" customHeight="1" x14ac:dyDescent="0.3">
      <c r="A1167" s="1" t="s">
        <v>1309</v>
      </c>
      <c r="B1167" s="1" t="str">
        <f ca="1">IFERROR(__xludf.DUMMYFUNCTION("GOOGLETRANSLATE(A1167, ""en"", ""fr"")"),"Refus")</f>
        <v>Refus</v>
      </c>
      <c r="D1167" s="1" t="s">
        <v>4963</v>
      </c>
    </row>
    <row r="1168" spans="1:13" ht="14.25" customHeight="1" x14ac:dyDescent="0.3">
      <c r="A1168" s="1" t="s">
        <v>1310</v>
      </c>
      <c r="B1168" s="1" t="str">
        <f ca="1">IFERROR(__xludf.DUMMYFUNCTION("GOOGLETRANSLATE(A1168, ""en"", ""fr"")"),"DÉNIGRER")</f>
        <v>DÉNIGRER</v>
      </c>
      <c r="D1168" s="1" t="s">
        <v>4963</v>
      </c>
    </row>
    <row r="1169" spans="1:13" ht="14.25" customHeight="1" x14ac:dyDescent="0.3">
      <c r="A1169" s="1" t="s">
        <v>1311</v>
      </c>
      <c r="B1169" s="1" t="str">
        <f ca="1">IFERROR(__xludf.DUMMYFUNCTION("GOOGLETRANSLATE(A1169, ""en"", ""fr"")"),"Dénigrer")</f>
        <v>Dénigrer</v>
      </c>
      <c r="D1169" s="1" t="s">
        <v>4963</v>
      </c>
    </row>
    <row r="1170" spans="1:13" ht="14.25" customHeight="1" x14ac:dyDescent="0.3">
      <c r="A1170" s="1" t="s">
        <v>1312</v>
      </c>
      <c r="B1170" s="1" t="str">
        <f ca="1">IFERROR(__xludf.DUMMYFUNCTION("GOOGLETRANSLATE(A1170, ""en"", ""fr"")"),"Dénigrer")</f>
        <v>Dénigrer</v>
      </c>
      <c r="D1170" s="1" t="s">
        <v>4963</v>
      </c>
    </row>
    <row r="1171" spans="1:13" ht="14.25" customHeight="1" x14ac:dyDescent="0.3">
      <c r="A1171" s="1" t="s">
        <v>1313</v>
      </c>
      <c r="B1171" s="1" t="str">
        <f ca="1">IFERROR(__xludf.DUMMYFUNCTION("GOOGLETRANSLATE(A1171, ""en"", ""fr"")"),"Dénigrer")</f>
        <v>Dénigrer</v>
      </c>
      <c r="D1171" s="1" t="s">
        <v>4963</v>
      </c>
    </row>
    <row r="1172" spans="1:13" ht="14.25" customHeight="1" x14ac:dyDescent="0.3">
      <c r="A1172" s="1" t="s">
        <v>1314</v>
      </c>
      <c r="B1172" s="1" t="str">
        <f ca="1">IFERROR(__xludf.DUMMYFUNCTION("GOOGLETRANSLATE(A1172, ""en"", ""fr"")"),"DÉNIGREMENT")</f>
        <v>DÉNIGREMENT</v>
      </c>
      <c r="D1172" s="1" t="s">
        <v>4963</v>
      </c>
    </row>
    <row r="1173" spans="1:13" ht="14.25" customHeight="1" x14ac:dyDescent="0.3">
      <c r="A1173" s="1" t="s">
        <v>1315</v>
      </c>
      <c r="B1173" s="1" t="str">
        <f ca="1">IFERROR(__xludf.DUMMYFUNCTION("GOOGLETRANSLATE(A1173, ""en"", ""fr"")"),"Densité")</f>
        <v>Densité</v>
      </c>
      <c r="E1173" s="1" t="s">
        <v>3</v>
      </c>
    </row>
    <row r="1174" spans="1:13" ht="14.25" customHeight="1" x14ac:dyDescent="0.3">
      <c r="A1174" s="1" t="s">
        <v>1316</v>
      </c>
      <c r="B1174" s="1" t="str">
        <f ca="1">IFERROR(__xludf.DUMMYFUNCTION("GOOGLETRANSLATE(A1174, ""en"", ""fr"")"),"REFUSER")</f>
        <v>REFUSER</v>
      </c>
      <c r="D1174" s="1" t="s">
        <v>4963</v>
      </c>
    </row>
    <row r="1175" spans="1:13" ht="14.25" customHeight="1" x14ac:dyDescent="0.3">
      <c r="A1175" s="1" t="s">
        <v>1317</v>
      </c>
      <c r="B1175" s="1" t="str">
        <f ca="1">IFERROR(__xludf.DUMMYFUNCTION("GOOGLETRANSLATE(A1175, ""en"", ""fr"")"),"Refusant")</f>
        <v>Refusant</v>
      </c>
      <c r="D1175" s="1" t="s">
        <v>4963</v>
      </c>
    </row>
    <row r="1176" spans="1:13" ht="14.25" customHeight="1" x14ac:dyDescent="0.3">
      <c r="A1176" s="1" t="s">
        <v>1318</v>
      </c>
      <c r="B1176" s="1" t="str">
        <f ca="1">IFERROR(__xludf.DUMMYFUNCTION("GOOGLETRANSLATE(A1176, ""en"", ""fr"")"),"Département de commerce")</f>
        <v>Département de commerce</v>
      </c>
      <c r="M1176" s="1" t="s">
        <v>10</v>
      </c>
    </row>
    <row r="1177" spans="1:13" ht="14.25" customHeight="1" x14ac:dyDescent="0.3">
      <c r="A1177" s="1" t="s">
        <v>1319</v>
      </c>
      <c r="B1177" s="1" t="str">
        <f ca="1">IFERROR(__xludf.DUMMYFUNCTION("GOOGLETRANSLATE(A1177, ""en"", ""fr"")"),"FIABILITÉ")</f>
        <v>FIABILITÉ</v>
      </c>
      <c r="H1177" s="1" t="s">
        <v>4964</v>
      </c>
    </row>
    <row r="1178" spans="1:13" ht="14.25" customHeight="1" x14ac:dyDescent="0.3">
      <c r="A1178" s="1" t="s">
        <v>1320</v>
      </c>
      <c r="B1178" s="1" t="str">
        <f ca="1">IFERROR(__xludf.DUMMYFUNCTION("GOOGLETRANSLATE(A1178, ""en"", ""fr"")"),"SÛR")</f>
        <v>SÛR</v>
      </c>
      <c r="H1178" s="1" t="s">
        <v>4964</v>
      </c>
    </row>
    <row r="1179" spans="1:13" ht="14.25" customHeight="1" x14ac:dyDescent="0.3">
      <c r="A1179" s="1" t="s">
        <v>1321</v>
      </c>
      <c r="B1179" s="1" t="str">
        <f ca="1">IFERROR(__xludf.DUMMYFUNCTION("GOOGLETRANSLATE(A1179, ""en"", ""fr"")"),"ratio de dépendance")</f>
        <v>ratio de dépendance</v>
      </c>
      <c r="M1179" s="1" t="s">
        <v>10</v>
      </c>
    </row>
    <row r="1180" spans="1:13" ht="14.25" customHeight="1" x14ac:dyDescent="0.3">
      <c r="A1180" s="1" t="s">
        <v>1322</v>
      </c>
      <c r="B1180" s="1" t="str">
        <f ca="1">IFERROR(__xludf.DUMMYFUNCTION("GOOGLETRANSLATE(A1180, ""en"", ""fr"")"),"ÉPUISER")</f>
        <v>ÉPUISER</v>
      </c>
      <c r="D1180" s="1" t="s">
        <v>4963</v>
      </c>
    </row>
    <row r="1181" spans="1:13" ht="14.25" customHeight="1" x14ac:dyDescent="0.3">
      <c r="A1181" s="1" t="s">
        <v>1323</v>
      </c>
      <c r="B1181" s="1" t="str">
        <f ca="1">IFERROR(__xludf.DUMMYFUNCTION("GOOGLETRANSLATE(A1181, ""en"", ""fr"")"),"APPAUVRI")</f>
        <v>APPAUVRI</v>
      </c>
      <c r="D1181" s="1" t="s">
        <v>4963</v>
      </c>
    </row>
    <row r="1182" spans="1:13" ht="14.25" customHeight="1" x14ac:dyDescent="0.3">
      <c r="A1182" s="1" t="s">
        <v>1324</v>
      </c>
      <c r="B1182" s="1" t="str">
        <f ca="1">IFERROR(__xludf.DUMMYFUNCTION("GOOGLETRANSLATE(A1182, ""en"", ""fr"")"),"Épuiser")</f>
        <v>Épuiser</v>
      </c>
      <c r="D1182" s="1" t="s">
        <v>4963</v>
      </c>
    </row>
    <row r="1183" spans="1:13" ht="14.25" customHeight="1" x14ac:dyDescent="0.3">
      <c r="A1183" s="1" t="s">
        <v>1325</v>
      </c>
      <c r="B1183" s="1" t="str">
        <f ca="1">IFERROR(__xludf.DUMMYFUNCTION("GOOGLETRANSLATE(A1183, ""en"", ""fr"")"),"Épuisement")</f>
        <v>Épuisement</v>
      </c>
      <c r="D1183" s="1" t="s">
        <v>4963</v>
      </c>
    </row>
    <row r="1184" spans="1:13" ht="14.25" customHeight="1" x14ac:dyDescent="0.3">
      <c r="A1184" s="1" t="s">
        <v>1326</v>
      </c>
      <c r="B1184" s="1" t="str">
        <f ca="1">IFERROR(__xludf.DUMMYFUNCTION("GOOGLETRANSLATE(A1184, ""en"", ""fr"")"),"épuisement")</f>
        <v>épuisement</v>
      </c>
      <c r="D1184" s="1" t="s">
        <v>4963</v>
      </c>
      <c r="M1184" s="1" t="s">
        <v>10</v>
      </c>
    </row>
    <row r="1185" spans="1:96" ht="14.25" customHeight="1" x14ac:dyDescent="0.3">
      <c r="A1185" s="1" t="s">
        <v>1327</v>
      </c>
      <c r="B1185" s="1" t="str">
        <f ca="1">IFERROR(__xludf.DUMMYFUNCTION("GOOGLETRANSLATE(A1185, ""en"", ""fr"")"),"Épuisement")</f>
        <v>Épuisement</v>
      </c>
      <c r="D1185" s="1" t="s">
        <v>4963</v>
      </c>
    </row>
    <row r="1186" spans="1:96" ht="14.25" customHeight="1" x14ac:dyDescent="0.3">
      <c r="A1186" s="1" t="s">
        <v>1328</v>
      </c>
      <c r="B1186" s="1" t="str">
        <f ca="1">IFERROR(__xludf.DUMMYFUNCTION("GOOGLETRANSLATE(A1186, ""en"", ""fr"")"),"multiplicateur de dépôt")</f>
        <v>multiplicateur de dépôt</v>
      </c>
      <c r="M1186" s="1" t="s">
        <v>10</v>
      </c>
    </row>
    <row r="1187" spans="1:96" ht="14.25" customHeight="1" x14ac:dyDescent="0.3">
      <c r="A1187" s="1" t="s">
        <v>1329</v>
      </c>
      <c r="B1187" s="1" t="str">
        <f ca="1">IFERROR(__xludf.DUMMYFUNCTION("GOOGLETRANSLATE(A1187, ""en"", ""fr"")"),"DÉSAPPROBATION")</f>
        <v>DÉSAPPROBATION</v>
      </c>
      <c r="D1187" s="1" t="s">
        <v>4963</v>
      </c>
    </row>
    <row r="1188" spans="1:96" ht="14.25" customHeight="1" x14ac:dyDescent="0.3">
      <c r="A1188" s="1" t="s">
        <v>1330</v>
      </c>
      <c r="B1188" s="1" t="str">
        <f ca="1">IFERROR(__xludf.DUMMYFUNCTION("GOOGLETRANSLATE(A1188, ""en"", ""fr"")"),"dépréciation")</f>
        <v>dépréciation</v>
      </c>
      <c r="CR1188" s="1" t="s">
        <v>93</v>
      </c>
    </row>
    <row r="1189" spans="1:96" ht="14.25" customHeight="1" x14ac:dyDescent="0.3">
      <c r="A1189" s="1" t="s">
        <v>1331</v>
      </c>
      <c r="B1189" s="1" t="str">
        <f ca="1">IFERROR(__xludf.DUMMYFUNCTION("GOOGLETRANSLATE(A1189, ""en"", ""fr"")"),"DÉPRIMER")</f>
        <v>DÉPRIMER</v>
      </c>
      <c r="D1189" s="1" t="s">
        <v>4963</v>
      </c>
    </row>
    <row r="1190" spans="1:96" ht="14.25" customHeight="1" x14ac:dyDescent="0.3">
      <c r="A1190" s="1" t="s">
        <v>1332</v>
      </c>
      <c r="B1190" s="1" t="str">
        <f ca="1">IFERROR(__xludf.DUMMYFUNCTION("GOOGLETRANSLATE(A1190, ""en"", ""fr"")"),"DÉPRIMÉ")</f>
        <v>DÉPRIMÉ</v>
      </c>
      <c r="D1190" s="1" t="s">
        <v>4963</v>
      </c>
    </row>
    <row r="1191" spans="1:96" ht="14.25" customHeight="1" x14ac:dyDescent="0.3">
      <c r="A1191" s="1" t="s">
        <v>1333</v>
      </c>
      <c r="B1191" s="1" t="str">
        <f ca="1">IFERROR(__xludf.DUMMYFUNCTION("GOOGLETRANSLATE(A1191, ""en"", ""fr"")"),"marché déprimé")</f>
        <v>marché déprimé</v>
      </c>
      <c r="M1191" s="1" t="s">
        <v>10</v>
      </c>
    </row>
    <row r="1192" spans="1:96" ht="14.25" customHeight="1" x14ac:dyDescent="0.3">
      <c r="A1192" s="1" t="s">
        <v>1334</v>
      </c>
      <c r="B1192" s="1" t="str">
        <f ca="1">IFERROR(__xludf.DUMMYFUNCTION("GOOGLETRANSLATE(A1192, ""en"", ""fr"")"),"Déprimer")</f>
        <v>Déprimer</v>
      </c>
      <c r="D1192" s="1" t="s">
        <v>4963</v>
      </c>
    </row>
    <row r="1193" spans="1:96" ht="14.25" customHeight="1" x14ac:dyDescent="0.3">
      <c r="A1193" s="1" t="s">
        <v>1335</v>
      </c>
      <c r="B1193" s="1" t="str">
        <f ca="1">IFERROR(__xludf.DUMMYFUNCTION("GOOGLETRANSLATE(A1193, ""en"", ""fr"")"),"DÉPRIMANT")</f>
        <v>DÉPRIMANT</v>
      </c>
      <c r="D1193" s="1" t="s">
        <v>4963</v>
      </c>
    </row>
    <row r="1194" spans="1:96" ht="14.25" customHeight="1" x14ac:dyDescent="0.3">
      <c r="A1194" s="1" t="s">
        <v>1336</v>
      </c>
      <c r="B1194" s="1" t="str">
        <f ca="1">IFERROR(__xludf.DUMMYFUNCTION("GOOGLETRANSLATE(A1194, ""en"", ""fr"")"),"dépression")</f>
        <v>dépression</v>
      </c>
      <c r="M1194" s="1" t="s">
        <v>10</v>
      </c>
    </row>
    <row r="1195" spans="1:96" ht="14.25" customHeight="1" x14ac:dyDescent="0.3">
      <c r="A1195" s="1" t="s">
        <v>1337</v>
      </c>
      <c r="B1195" s="1" t="str">
        <f ca="1">IFERROR(__xludf.DUMMYFUNCTION("GOOGLETRANSLATE(A1195, ""en"", ""fr"")"),"PRIVATION")</f>
        <v>PRIVATION</v>
      </c>
      <c r="D1195" s="1" t="s">
        <v>4963</v>
      </c>
    </row>
    <row r="1196" spans="1:96" ht="14.25" customHeight="1" x14ac:dyDescent="0.3">
      <c r="A1196" s="1" t="s">
        <v>1338</v>
      </c>
      <c r="B1196" s="1" t="str">
        <f ca="1">IFERROR(__xludf.DUMMYFUNCTION("GOOGLETRANSLATE(A1196, ""en"", ""fr"")"),"PRIVER")</f>
        <v>PRIVER</v>
      </c>
      <c r="D1196" s="1" t="s">
        <v>4963</v>
      </c>
    </row>
    <row r="1197" spans="1:96" ht="14.25" customHeight="1" x14ac:dyDescent="0.3">
      <c r="A1197" s="1" t="s">
        <v>1339</v>
      </c>
      <c r="B1197" s="1" t="str">
        <f ca="1">IFERROR(__xludf.DUMMYFUNCTION("GOOGLETRANSLATE(A1197, ""en"", ""fr"")"),"Privé")</f>
        <v>Privé</v>
      </c>
      <c r="D1197" s="1" t="s">
        <v>4963</v>
      </c>
    </row>
    <row r="1198" spans="1:96" ht="14.25" customHeight="1" x14ac:dyDescent="0.3">
      <c r="A1198" s="1" t="s">
        <v>1340</v>
      </c>
      <c r="B1198" s="1" t="str">
        <f ca="1">IFERROR(__xludf.DUMMYFUNCTION("GOOGLETRANSLATE(A1198, ""en"", ""fr"")"),"Prive")</f>
        <v>Prive</v>
      </c>
      <c r="D1198" s="1" t="s">
        <v>4963</v>
      </c>
    </row>
    <row r="1199" spans="1:96" ht="14.25" customHeight="1" x14ac:dyDescent="0.3">
      <c r="A1199" s="1" t="s">
        <v>1341</v>
      </c>
      <c r="B1199" s="1" t="str">
        <f ca="1">IFERROR(__xludf.DUMMYFUNCTION("GOOGLETRANSLATE(A1199, ""en"", ""fr"")"),"Privé")</f>
        <v>Privé</v>
      </c>
      <c r="D1199" s="1" t="s">
        <v>4963</v>
      </c>
    </row>
    <row r="1200" spans="1:96" ht="14.25" customHeight="1" x14ac:dyDescent="0.3">
      <c r="A1200" s="1" t="s">
        <v>1342</v>
      </c>
      <c r="B1200" s="1" t="str">
        <f ca="1">IFERROR(__xludf.DUMMYFUNCTION("GOOGLETRANSLATE(A1200, ""en"", ""fr"")"),"déréglementation")</f>
        <v>déréglementation</v>
      </c>
      <c r="M1200" s="1" t="s">
        <v>10</v>
      </c>
    </row>
    <row r="1201" spans="1:51" ht="14.25" customHeight="1" x14ac:dyDescent="0.3">
      <c r="A1201" s="1" t="s">
        <v>1343</v>
      </c>
      <c r="B1201" s="1" t="str">
        <f ca="1">IFERROR(__xludf.DUMMYFUNCTION("GOOGLETRANSLATE(A1201, ""en"", ""fr"")"),"ABANDONNÉ")</f>
        <v>ABANDONNÉ</v>
      </c>
      <c r="D1201" s="1" t="s">
        <v>4963</v>
      </c>
    </row>
    <row r="1202" spans="1:51" ht="14.25" customHeight="1" x14ac:dyDescent="0.3">
      <c r="A1202" s="1" t="s">
        <v>1344</v>
      </c>
      <c r="B1202" s="1" t="str">
        <f ca="1">IFERROR(__xludf.DUMMYFUNCTION("GOOGLETRANSLATE(A1202, ""en"", ""fr"")"),"ABANDON")</f>
        <v>ABANDON</v>
      </c>
      <c r="D1202" s="1" t="s">
        <v>4963</v>
      </c>
    </row>
    <row r="1203" spans="1:51" ht="14.25" customHeight="1" x14ac:dyDescent="0.3">
      <c r="A1203" s="1" t="s">
        <v>1345</v>
      </c>
      <c r="B1203" s="1" t="str">
        <f ca="1">IFERROR(__xludf.DUMMYFUNCTION("GOOGLETRANSLATE(A1203, ""en"", ""fr"")"),"dérivés")</f>
        <v>dérivés</v>
      </c>
      <c r="Q1203" s="1" t="s">
        <v>14</v>
      </c>
    </row>
    <row r="1204" spans="1:51" ht="14.25" customHeight="1" x14ac:dyDescent="0.3">
      <c r="A1204" s="1" t="s">
        <v>1346</v>
      </c>
      <c r="B1204" s="1" t="str">
        <f ca="1">IFERROR(__xludf.DUMMYFUNCTION("GOOGLETRANSLATE(A1204, ""en"", ""fr"")"),"Désobligeant")</f>
        <v>Désobligeant</v>
      </c>
      <c r="D1204" s="1" t="s">
        <v>4963</v>
      </c>
    </row>
    <row r="1205" spans="1:51" ht="14.25" customHeight="1" x14ac:dyDescent="0.3">
      <c r="A1205" s="1" t="s">
        <v>1347</v>
      </c>
      <c r="B1205" s="1" t="str">
        <f ca="1">IFERROR(__xludf.DUMMYFUNCTION("GOOGLETRANSLATE(A1205, ""en"", ""fr"")"),"Derrick")</f>
        <v>Derrick</v>
      </c>
      <c r="AY1205" s="1" t="s">
        <v>48</v>
      </c>
    </row>
    <row r="1206" spans="1:51" ht="14.25" customHeight="1" x14ac:dyDescent="0.3">
      <c r="A1206" s="1" t="s">
        <v>1348</v>
      </c>
      <c r="B1206" s="1" t="str">
        <f ca="1">IFERROR(__xludf.DUMMYFUNCTION("GOOGLETRANSLATE(A1206, ""en"", ""fr"")"),"Derrickman")</f>
        <v>Derrickman</v>
      </c>
      <c r="E1206" s="1" t="s">
        <v>3</v>
      </c>
    </row>
    <row r="1207" spans="1:51" ht="14.25" customHeight="1" x14ac:dyDescent="0.3">
      <c r="A1207" s="1" t="s">
        <v>1349</v>
      </c>
      <c r="B1207" s="1" t="str">
        <f ca="1">IFERROR(__xludf.DUMMYFUNCTION("GOOGLETRANSLATE(A1207, ""en"", ""fr"")"),"SOUHAITABLE")</f>
        <v>SOUHAITABLE</v>
      </c>
      <c r="H1207" s="1" t="s">
        <v>4964</v>
      </c>
    </row>
    <row r="1208" spans="1:51" ht="14.25" customHeight="1" x14ac:dyDescent="0.3">
      <c r="A1208" s="1" t="s">
        <v>1350</v>
      </c>
      <c r="B1208" s="1" t="str">
        <f ca="1">IFERROR(__xludf.DUMMYFUNCTION("GOOGLETRANSLATE(A1208, ""en"", ""fr"")"),"VOULU")</f>
        <v>VOULU</v>
      </c>
      <c r="H1208" s="1" t="s">
        <v>4964</v>
      </c>
    </row>
    <row r="1209" spans="1:51" ht="14.25" customHeight="1" x14ac:dyDescent="0.3">
      <c r="A1209" s="1" t="s">
        <v>1351</v>
      </c>
      <c r="B1209" s="1" t="str">
        <f ca="1">IFERROR(__xludf.DUMMYFUNCTION("GOOGLETRANSLATE(A1209, ""en"", ""fr"")"),"MALGRÉ")</f>
        <v>MALGRÉ</v>
      </c>
      <c r="H1209" s="1" t="s">
        <v>4964</v>
      </c>
    </row>
    <row r="1210" spans="1:51" ht="14.25" customHeight="1" x14ac:dyDescent="0.3">
      <c r="A1210" s="1" t="s">
        <v>1352</v>
      </c>
      <c r="B1210" s="1" t="str">
        <f ca="1">IFERROR(__xludf.DUMMYFUNCTION("GOOGLETRANSLATE(A1210, ""en"", ""fr"")"),"Déstabilisation")</f>
        <v>Déstabilisation</v>
      </c>
      <c r="D1210" s="1" t="s">
        <v>4963</v>
      </c>
    </row>
    <row r="1211" spans="1:51" ht="14.25" customHeight="1" x14ac:dyDescent="0.3">
      <c r="A1211" s="1" t="s">
        <v>1353</v>
      </c>
      <c r="B1211" s="1" t="str">
        <f ca="1">IFERROR(__xludf.DUMMYFUNCTION("GOOGLETRANSLATE(A1211, ""en"", ""fr"")"),"Se déstabiliser")</f>
        <v>Se déstabiliser</v>
      </c>
      <c r="D1211" s="1" t="s">
        <v>4963</v>
      </c>
    </row>
    <row r="1212" spans="1:51" ht="14.25" customHeight="1" x14ac:dyDescent="0.3">
      <c r="A1212" s="1" t="s">
        <v>1354</v>
      </c>
      <c r="B1212" s="1" t="str">
        <f ca="1">IFERROR(__xludf.DUMMYFUNCTION("GOOGLETRANSLATE(A1212, ""en"", ""fr"")"),"Déstabilisé")</f>
        <v>Déstabilisé</v>
      </c>
      <c r="D1212" s="1" t="s">
        <v>4963</v>
      </c>
    </row>
    <row r="1213" spans="1:51" ht="14.25" customHeight="1" x14ac:dyDescent="0.3">
      <c r="A1213" s="1" t="s">
        <v>1355</v>
      </c>
      <c r="B1213" s="1" t="str">
        <f ca="1">IFERROR(__xludf.DUMMYFUNCTION("GOOGLETRANSLATE(A1213, ""en"", ""fr"")"),"Déstabilisateur")</f>
        <v>Déstabilisateur</v>
      </c>
      <c r="D1213" s="1" t="s">
        <v>4963</v>
      </c>
    </row>
    <row r="1214" spans="1:51" ht="14.25" customHeight="1" x14ac:dyDescent="0.3">
      <c r="A1214" s="1" t="s">
        <v>1356</v>
      </c>
      <c r="B1214" s="1" t="str">
        <f ca="1">IFERROR(__xludf.DUMMYFUNCTION("GOOGLETRANSLATE(A1214, ""en"", ""fr"")"),"DESTINÉ")</f>
        <v>DESTINÉ</v>
      </c>
      <c r="H1214" s="1" t="s">
        <v>4964</v>
      </c>
    </row>
    <row r="1215" spans="1:51" ht="14.25" customHeight="1" x14ac:dyDescent="0.3">
      <c r="A1215" s="1" t="s">
        <v>1357</v>
      </c>
      <c r="B1215" s="1" t="str">
        <f ca="1">IFERROR(__xludf.DUMMYFUNCTION("GOOGLETRANSLATE(A1215, ""en"", ""fr"")"),"DÉTRUIRE")</f>
        <v>DÉTRUIRE</v>
      </c>
      <c r="D1215" s="1" t="s">
        <v>4963</v>
      </c>
    </row>
    <row r="1216" spans="1:51" ht="14.25" customHeight="1" x14ac:dyDescent="0.3">
      <c r="A1216" s="1" t="s">
        <v>1358</v>
      </c>
      <c r="B1216" s="1" t="str">
        <f ca="1">IFERROR(__xludf.DUMMYFUNCTION("GOOGLETRANSLATE(A1216, ""en"", ""fr"")"),"DÉTRUIT")</f>
        <v>DÉTRUIT</v>
      </c>
      <c r="D1216" s="1" t="s">
        <v>4963</v>
      </c>
    </row>
    <row r="1217" spans="1:4" ht="14.25" customHeight="1" x14ac:dyDescent="0.3">
      <c r="A1217" s="1" t="s">
        <v>1359</v>
      </c>
      <c r="B1217" s="1" t="str">
        <f ca="1">IFERROR(__xludf.DUMMYFUNCTION("GOOGLETRANSLATE(A1217, ""en"", ""fr"")"),"Destruction")</f>
        <v>Destruction</v>
      </c>
      <c r="D1217" s="1" t="s">
        <v>4963</v>
      </c>
    </row>
    <row r="1218" spans="1:4" ht="14.25" customHeight="1" x14ac:dyDescent="0.3">
      <c r="A1218" s="1" t="s">
        <v>1360</v>
      </c>
      <c r="B1218" s="1" t="str">
        <f ca="1">IFERROR(__xludf.DUMMYFUNCTION("GOOGLETRANSLATE(A1218, ""en"", ""fr"")"),"Détruit")</f>
        <v>Détruit</v>
      </c>
      <c r="D1218" s="1" t="s">
        <v>4963</v>
      </c>
    </row>
    <row r="1219" spans="1:4" ht="14.25" customHeight="1" x14ac:dyDescent="0.3">
      <c r="A1219" s="1" t="s">
        <v>1361</v>
      </c>
      <c r="B1219" s="1" t="str">
        <f ca="1">IFERROR(__xludf.DUMMYFUNCTION("GOOGLETRANSLATE(A1219, ""en"", ""fr"")"),"DESTRUCTION")</f>
        <v>DESTRUCTION</v>
      </c>
      <c r="D1219" s="1" t="s">
        <v>4963</v>
      </c>
    </row>
    <row r="1220" spans="1:4" ht="14.25" customHeight="1" x14ac:dyDescent="0.3">
      <c r="A1220" s="1" t="s">
        <v>1362</v>
      </c>
      <c r="B1220" s="1" t="str">
        <f ca="1">IFERROR(__xludf.DUMMYFUNCTION("GOOGLETRANSLATE(A1220, ""en"", ""fr"")"),"DESTRUCTEUR")</f>
        <v>DESTRUCTEUR</v>
      </c>
      <c r="D1220" s="1" t="s">
        <v>4963</v>
      </c>
    </row>
    <row r="1221" spans="1:4" ht="14.25" customHeight="1" x14ac:dyDescent="0.3">
      <c r="A1221" s="1" t="s">
        <v>1363</v>
      </c>
      <c r="B1221" s="1" t="str">
        <f ca="1">IFERROR(__xludf.DUMMYFUNCTION("GOOGLETRANSLATE(A1221, ""en"", ""fr"")"),"DÉTENIR")</f>
        <v>DÉTENIR</v>
      </c>
      <c r="D1221" s="1" t="s">
        <v>4963</v>
      </c>
    </row>
    <row r="1222" spans="1:4" ht="14.25" customHeight="1" x14ac:dyDescent="0.3">
      <c r="A1222" s="1" t="s">
        <v>1364</v>
      </c>
      <c r="B1222" s="1" t="str">
        <f ca="1">IFERROR(__xludf.DUMMYFUNCTION("GOOGLETRANSLATE(A1222, ""en"", ""fr"")"),"DÉTENU")</f>
        <v>DÉTENU</v>
      </c>
      <c r="D1222" s="1" t="s">
        <v>4963</v>
      </c>
    </row>
    <row r="1223" spans="1:4" ht="14.25" customHeight="1" x14ac:dyDescent="0.3">
      <c r="A1223" s="1" t="s">
        <v>1365</v>
      </c>
      <c r="B1223" s="1" t="str">
        <f ca="1">IFERROR(__xludf.DUMMYFUNCTION("GOOGLETRANSLATE(A1223, ""en"", ""fr"")"),"RETENUE")</f>
        <v>RETENUE</v>
      </c>
      <c r="D1223" s="1" t="s">
        <v>4963</v>
      </c>
    </row>
    <row r="1224" spans="1:4" ht="14.25" customHeight="1" x14ac:dyDescent="0.3">
      <c r="A1224" s="1" t="s">
        <v>1366</v>
      </c>
      <c r="B1224" s="1" t="str">
        <f ca="1">IFERROR(__xludf.DUMMYFUNCTION("GOOGLETRANSLATE(A1224, ""en"", ""fr"")"),"Détentions")</f>
        <v>Détentions</v>
      </c>
      <c r="D1224" s="1" t="s">
        <v>4963</v>
      </c>
    </row>
    <row r="1225" spans="1:4" ht="14.25" customHeight="1" x14ac:dyDescent="0.3">
      <c r="A1225" s="1" t="s">
        <v>1367</v>
      </c>
      <c r="B1225" s="1" t="str">
        <f ca="1">IFERROR(__xludf.DUMMYFUNCTION("GOOGLETRANSLATE(A1225, ""en"", ""fr"")"),"DISSUADER")</f>
        <v>DISSUADER</v>
      </c>
      <c r="D1225" s="1" t="s">
        <v>4963</v>
      </c>
    </row>
    <row r="1226" spans="1:4" ht="14.25" customHeight="1" x14ac:dyDescent="0.3">
      <c r="A1226" s="1" t="s">
        <v>1368</v>
      </c>
      <c r="B1226" s="1" t="str">
        <f ca="1">IFERROR(__xludf.DUMMYFUNCTION("GOOGLETRANSLATE(A1226, ""en"", ""fr"")"),"DÉTÉRIORER")</f>
        <v>DÉTÉRIORER</v>
      </c>
      <c r="D1226" s="1" t="s">
        <v>4963</v>
      </c>
    </row>
    <row r="1227" spans="1:4" ht="14.25" customHeight="1" x14ac:dyDescent="0.3">
      <c r="A1227" s="1" t="s">
        <v>1369</v>
      </c>
      <c r="B1227" s="1" t="str">
        <f ca="1">IFERROR(__xludf.DUMMYFUNCTION("GOOGLETRANSLATE(A1227, ""en"", ""fr"")"),"DÉTÉRIORÉ")</f>
        <v>DÉTÉRIORÉ</v>
      </c>
      <c r="D1227" s="1" t="s">
        <v>4963</v>
      </c>
    </row>
    <row r="1228" spans="1:4" ht="14.25" customHeight="1" x14ac:dyDescent="0.3">
      <c r="A1228" s="1" t="s">
        <v>1370</v>
      </c>
      <c r="B1228" s="1" t="str">
        <f ca="1">IFERROR(__xludf.DUMMYFUNCTION("GOOGLETRANSLATE(A1228, ""en"", ""fr"")"),"Se détériorer")</f>
        <v>Se détériorer</v>
      </c>
      <c r="D1228" s="1" t="s">
        <v>4963</v>
      </c>
    </row>
    <row r="1229" spans="1:4" ht="14.25" customHeight="1" x14ac:dyDescent="0.3">
      <c r="A1229" s="1" t="s">
        <v>1371</v>
      </c>
      <c r="B1229" s="1" t="str">
        <f ca="1">IFERROR(__xludf.DUMMYFUNCTION("GOOGLETRANSLATE(A1229, ""en"", ""fr"")"),"Détérioration")</f>
        <v>Détérioration</v>
      </c>
      <c r="D1229" s="1" t="s">
        <v>4963</v>
      </c>
    </row>
    <row r="1230" spans="1:4" ht="14.25" customHeight="1" x14ac:dyDescent="0.3">
      <c r="A1230" s="1" t="s">
        <v>1372</v>
      </c>
      <c r="B1230" s="1" t="str">
        <f ca="1">IFERROR(__xludf.DUMMYFUNCTION("GOOGLETRANSLATE(A1230, ""en"", ""fr"")"),"DÉTÉRIORATION")</f>
        <v>DÉTÉRIORATION</v>
      </c>
      <c r="D1230" s="1" t="s">
        <v>4963</v>
      </c>
    </row>
    <row r="1231" spans="1:4" ht="14.25" customHeight="1" x14ac:dyDescent="0.3">
      <c r="A1231" s="1" t="s">
        <v>1373</v>
      </c>
      <c r="B1231" s="1" t="str">
        <f ca="1">IFERROR(__xludf.DUMMYFUNCTION("GOOGLETRANSLATE(A1231, ""en"", ""fr"")"),"Détérioration")</f>
        <v>Détérioration</v>
      </c>
      <c r="D1231" s="1" t="s">
        <v>4963</v>
      </c>
    </row>
    <row r="1232" spans="1:4" ht="14.25" customHeight="1" x14ac:dyDescent="0.3">
      <c r="A1232" s="1" t="s">
        <v>1374</v>
      </c>
      <c r="B1232" s="1" t="str">
        <f ca="1">IFERROR(__xludf.DUMMYFUNCTION("GOOGLETRANSLATE(A1232, ""en"", ""fr"")"),"Dissuadé")</f>
        <v>Dissuadé</v>
      </c>
      <c r="D1232" s="1" t="s">
        <v>4963</v>
      </c>
    </row>
    <row r="1233" spans="1:4" ht="14.25" customHeight="1" x14ac:dyDescent="0.3">
      <c r="A1233" s="1" t="s">
        <v>1375</v>
      </c>
      <c r="B1233" s="1" t="str">
        <f ca="1">IFERROR(__xludf.DUMMYFUNCTION("GOOGLETRANSLATE(A1233, ""en"", ""fr"")"),"DISSUASION")</f>
        <v>DISSUASION</v>
      </c>
      <c r="D1233" s="1" t="s">
        <v>4963</v>
      </c>
    </row>
    <row r="1234" spans="1:4" ht="14.25" customHeight="1" x14ac:dyDescent="0.3">
      <c r="A1234" s="1" t="s">
        <v>1376</v>
      </c>
      <c r="B1234" s="1" t="str">
        <f ca="1">IFERROR(__xludf.DUMMYFUNCTION("GOOGLETRANSLATE(A1234, ""en"", ""fr"")"),"Dissuasion")</f>
        <v>Dissuasion</v>
      </c>
      <c r="D1234" s="1" t="s">
        <v>4963</v>
      </c>
    </row>
    <row r="1235" spans="1:4" ht="14.25" customHeight="1" x14ac:dyDescent="0.3">
      <c r="A1235" s="1" t="s">
        <v>1377</v>
      </c>
      <c r="B1235" s="1" t="str">
        <f ca="1">IFERROR(__xludf.DUMMYFUNCTION("GOOGLETRANSLATE(A1235, ""en"", ""fr"")"),"DISSUASIF")</f>
        <v>DISSUASIF</v>
      </c>
      <c r="D1235" s="1" t="s">
        <v>4963</v>
      </c>
    </row>
    <row r="1236" spans="1:4" ht="14.25" customHeight="1" x14ac:dyDescent="0.3">
      <c r="A1236" s="1" t="s">
        <v>1378</v>
      </c>
      <c r="B1236" s="1" t="str">
        <f ca="1">IFERROR(__xludf.DUMMYFUNCTION("GOOGLETRANSLATE(A1236, ""en"", ""fr"")"),"Dissuasion")</f>
        <v>Dissuasion</v>
      </c>
      <c r="D1236" s="1" t="s">
        <v>4963</v>
      </c>
    </row>
    <row r="1237" spans="1:4" ht="14.25" customHeight="1" x14ac:dyDescent="0.3">
      <c r="A1237" s="1" t="s">
        <v>1379</v>
      </c>
      <c r="B1237" s="1" t="str">
        <f ca="1">IFERROR(__xludf.DUMMYFUNCTION("GOOGLETRANSLATE(A1237, ""en"", ""fr"")"),"Dissuasion")</f>
        <v>Dissuasion</v>
      </c>
      <c r="D1237" s="1" t="s">
        <v>4963</v>
      </c>
    </row>
    <row r="1238" spans="1:4" ht="14.25" customHeight="1" x14ac:dyDescent="0.3">
      <c r="A1238" s="1" t="s">
        <v>1380</v>
      </c>
      <c r="B1238" s="1" t="str">
        <f ca="1">IFERROR(__xludf.DUMMYFUNCTION("GOOGLETRANSLATE(A1238, ""en"", ""fr"")"),"Dissuasion")</f>
        <v>Dissuasion</v>
      </c>
      <c r="D1238" s="1" t="s">
        <v>4963</v>
      </c>
    </row>
    <row r="1239" spans="1:4" ht="14.25" customHeight="1" x14ac:dyDescent="0.3">
      <c r="A1239" s="1" t="s">
        <v>1381</v>
      </c>
      <c r="B1239" s="1" t="str">
        <f ca="1">IFERROR(__xludf.DUMMYFUNCTION("GOOGLETRANSLATE(A1239, ""en"", ""fr"")"),"DIMINUER")</f>
        <v>DIMINUER</v>
      </c>
      <c r="D1239" s="1" t="s">
        <v>4963</v>
      </c>
    </row>
    <row r="1240" spans="1:4" ht="14.25" customHeight="1" x14ac:dyDescent="0.3">
      <c r="A1240" s="1" t="s">
        <v>1382</v>
      </c>
      <c r="B1240" s="1" t="str">
        <f ca="1">IFERROR(__xludf.DUMMYFUNCTION("GOOGLETRANSLATE(A1240, ""en"", ""fr"")"),"Nul")</f>
        <v>Nul</v>
      </c>
      <c r="D1240" s="1" t="s">
        <v>4963</v>
      </c>
    </row>
    <row r="1241" spans="1:4" ht="14.25" customHeight="1" x14ac:dyDescent="0.3">
      <c r="A1241" s="1" t="s">
        <v>1383</v>
      </c>
      <c r="B1241" s="1" t="str">
        <f ca="1">IFERROR(__xludf.DUMMYFUNCTION("GOOGLETRANSLATE(A1241, ""en"", ""fr"")"),"Nul")</f>
        <v>Nul</v>
      </c>
      <c r="D1241" s="1" t="s">
        <v>4963</v>
      </c>
    </row>
    <row r="1242" spans="1:4" ht="14.25" customHeight="1" x14ac:dyDescent="0.3">
      <c r="A1242" s="1" t="s">
        <v>1384</v>
      </c>
      <c r="B1242" s="1" t="str">
        <f ca="1">IFERROR(__xludf.DUMMYFUNCTION("GOOGLETRANSLATE(A1242, ""en"", ""fr"")"),"DÉTRIMENT")</f>
        <v>DÉTRIMENT</v>
      </c>
      <c r="D1242" s="1" t="s">
        <v>4963</v>
      </c>
    </row>
    <row r="1243" spans="1:4" ht="14.25" customHeight="1" x14ac:dyDescent="0.3">
      <c r="A1243" s="1" t="s">
        <v>1385</v>
      </c>
      <c r="B1243" s="1" t="str">
        <f ca="1">IFERROR(__xludf.DUMMYFUNCTION("GOOGLETRANSLATE(A1243, ""en"", ""fr"")"),"PRÉJUDICIABLE")</f>
        <v>PRÉJUDICIABLE</v>
      </c>
      <c r="D1243" s="1" t="s">
        <v>4963</v>
      </c>
    </row>
    <row r="1244" spans="1:4" ht="14.25" customHeight="1" x14ac:dyDescent="0.3">
      <c r="A1244" s="1" t="s">
        <v>1386</v>
      </c>
      <c r="B1244" s="1" t="str">
        <f ca="1">IFERROR(__xludf.DUMMYFUNCTION("GOOGLETRANSLATE(A1244, ""en"", ""fr"")"),"Définitivement")</f>
        <v>Définitivement</v>
      </c>
      <c r="D1244" s="1" t="s">
        <v>4963</v>
      </c>
    </row>
    <row r="1245" spans="1:4" ht="14.25" customHeight="1" x14ac:dyDescent="0.3">
      <c r="A1245" s="1" t="s">
        <v>1387</v>
      </c>
      <c r="B1245" s="1" t="str">
        <f ca="1">IFERROR(__xludf.DUMMYFUNCTION("GOOGLETRANSLATE(A1245, ""en"", ""fr"")"),"Préjudice")</f>
        <v>Préjudice</v>
      </c>
      <c r="D1245" s="1" t="s">
        <v>4963</v>
      </c>
    </row>
    <row r="1246" spans="1:4" ht="14.25" customHeight="1" x14ac:dyDescent="0.3">
      <c r="A1246" s="1" t="s">
        <v>1388</v>
      </c>
      <c r="B1246" s="1" t="str">
        <f ca="1">IFERROR(__xludf.DUMMYFUNCTION("GOOGLETRANSLATE(A1246, ""en"", ""fr"")"),"DÉVALUER")</f>
        <v>DÉVALUER</v>
      </c>
      <c r="D1246" s="1" t="s">
        <v>4963</v>
      </c>
    </row>
    <row r="1247" spans="1:4" ht="14.25" customHeight="1" x14ac:dyDescent="0.3">
      <c r="A1247" s="1" t="s">
        <v>1389</v>
      </c>
      <c r="B1247" s="1" t="str">
        <f ca="1">IFERROR(__xludf.DUMMYFUNCTION("GOOGLETRANSLATE(A1247, ""en"", ""fr"")"),"Dévalué")</f>
        <v>Dévalué</v>
      </c>
      <c r="D1247" s="1" t="s">
        <v>4963</v>
      </c>
    </row>
    <row r="1248" spans="1:4" ht="14.25" customHeight="1" x14ac:dyDescent="0.3">
      <c r="A1248" s="1" t="s">
        <v>1390</v>
      </c>
      <c r="B1248" s="1" t="str">
        <f ca="1">IFERROR(__xludf.DUMMYFUNCTION("GOOGLETRANSLATE(A1248, ""en"", ""fr"")"),"Dévalues")</f>
        <v>Dévalues</v>
      </c>
      <c r="D1248" s="1" t="s">
        <v>4963</v>
      </c>
    </row>
    <row r="1249" spans="1:13" ht="14.25" customHeight="1" x14ac:dyDescent="0.3">
      <c r="A1249" s="1" t="s">
        <v>1391</v>
      </c>
      <c r="B1249" s="1" t="str">
        <f ca="1">IFERROR(__xludf.DUMMYFUNCTION("GOOGLETRANSLATE(A1249, ""en"", ""fr"")"),"Dévalué")</f>
        <v>Dévalué</v>
      </c>
      <c r="D1249" s="1" t="s">
        <v>4963</v>
      </c>
    </row>
    <row r="1250" spans="1:13" ht="14.25" customHeight="1" x14ac:dyDescent="0.3">
      <c r="A1250" s="1" t="s">
        <v>1392</v>
      </c>
      <c r="B1250" s="1" t="str">
        <f ca="1">IFERROR(__xludf.DUMMYFUNCTION("GOOGLETRANSLATE(A1250, ""en"", ""fr"")"),"DÉVASTER")</f>
        <v>DÉVASTER</v>
      </c>
      <c r="D1250" s="1" t="s">
        <v>4963</v>
      </c>
    </row>
    <row r="1251" spans="1:13" ht="14.25" customHeight="1" x14ac:dyDescent="0.3">
      <c r="A1251" s="1" t="s">
        <v>1393</v>
      </c>
      <c r="B1251" s="1" t="str">
        <f ca="1">IFERROR(__xludf.DUMMYFUNCTION("GOOGLETRANSLATE(A1251, ""en"", ""fr"")"),"DÉVASTÉ")</f>
        <v>DÉVASTÉ</v>
      </c>
      <c r="D1251" s="1" t="s">
        <v>4963</v>
      </c>
    </row>
    <row r="1252" spans="1:13" ht="14.25" customHeight="1" x14ac:dyDescent="0.3">
      <c r="A1252" s="1" t="s">
        <v>1394</v>
      </c>
      <c r="B1252" s="1" t="str">
        <f ca="1">IFERROR(__xludf.DUMMYFUNCTION("GOOGLETRANSLATE(A1252, ""en"", ""fr"")"),"DÉVASTATEUR")</f>
        <v>DÉVASTATEUR</v>
      </c>
      <c r="D1252" s="1" t="s">
        <v>4963</v>
      </c>
    </row>
    <row r="1253" spans="1:13" ht="14.25" customHeight="1" x14ac:dyDescent="0.3">
      <c r="A1253" s="1" t="s">
        <v>1395</v>
      </c>
      <c r="B1253" s="1" t="str">
        <f ca="1">IFERROR(__xludf.DUMMYFUNCTION("GOOGLETRANSLATE(A1253, ""en"", ""fr"")"),"DÉVASTATION")</f>
        <v>DÉVASTATION</v>
      </c>
      <c r="D1253" s="1" t="s">
        <v>4963</v>
      </c>
    </row>
    <row r="1254" spans="1:13" ht="14.25" customHeight="1" x14ac:dyDescent="0.3">
      <c r="A1254" s="1" t="s">
        <v>1396</v>
      </c>
      <c r="B1254" s="1" t="str">
        <f ca="1">IFERROR(__xludf.DUMMYFUNCTION("GOOGLETRANSLATE(A1254, ""en"", ""fr"")"),"Marchés développés")</f>
        <v>Marchés développés</v>
      </c>
      <c r="M1254" s="1" t="s">
        <v>10</v>
      </c>
    </row>
    <row r="1255" spans="1:13" ht="14.25" customHeight="1" x14ac:dyDescent="0.3">
      <c r="A1255" s="1" t="s">
        <v>1397</v>
      </c>
      <c r="B1255" s="1" t="str">
        <f ca="1">IFERROR(__xludf.DUMMYFUNCTION("GOOGLETRANSLATE(A1255, ""en"", ""fr"")"),"Développement")</f>
        <v>Développement</v>
      </c>
      <c r="E1255" s="1" t="s">
        <v>3</v>
      </c>
    </row>
    <row r="1256" spans="1:13" ht="14.25" customHeight="1" x14ac:dyDescent="0.3">
      <c r="A1256" s="1" t="s">
        <v>1398</v>
      </c>
      <c r="B1256" s="1" t="str">
        <f ca="1">IFERROR(__xludf.DUMMYFUNCTION("GOOGLETRANSLATE(A1256, ""en"", ""fr"")"),"Bien développer")</f>
        <v>Bien développer</v>
      </c>
      <c r="E1256" s="1" t="s">
        <v>3</v>
      </c>
    </row>
    <row r="1257" spans="1:13" ht="14.25" customHeight="1" x14ac:dyDescent="0.3">
      <c r="A1257" s="1" t="s">
        <v>1399</v>
      </c>
      <c r="B1257" s="1" t="str">
        <f ca="1">IFERROR(__xludf.DUMMYFUNCTION("GOOGLETRANSLATE(A1257, ""en"", ""fr"")"),"Programme de forage au développement")</f>
        <v>Programme de forage au développement</v>
      </c>
      <c r="M1257" s="1" t="s">
        <v>10</v>
      </c>
    </row>
    <row r="1258" spans="1:13" ht="14.25" customHeight="1" x14ac:dyDescent="0.3">
      <c r="A1258" s="1" t="s">
        <v>1400</v>
      </c>
      <c r="B1258" s="1" t="str">
        <f ca="1">IFERROR(__xludf.DUMMYFUNCTION("GOOGLETRANSLATE(A1258, ""en"", ""fr"")"),"DÉVIER")</f>
        <v>DÉVIER</v>
      </c>
      <c r="D1258" s="1" t="s">
        <v>4963</v>
      </c>
    </row>
    <row r="1259" spans="1:13" ht="14.25" customHeight="1" x14ac:dyDescent="0.3">
      <c r="A1259" s="1" t="s">
        <v>1401</v>
      </c>
      <c r="B1259" s="1" t="str">
        <f ca="1">IFERROR(__xludf.DUMMYFUNCTION("GOOGLETRANSLATE(A1259, ""en"", ""fr"")"),"Dévié")</f>
        <v>Dévié</v>
      </c>
      <c r="D1259" s="1" t="s">
        <v>4963</v>
      </c>
    </row>
    <row r="1260" spans="1:13" ht="14.25" customHeight="1" x14ac:dyDescent="0.3">
      <c r="A1260" s="1" t="s">
        <v>1402</v>
      </c>
      <c r="B1260" s="1" t="str">
        <f ca="1">IFERROR(__xludf.DUMMYFUNCTION("GOOGLETRANSLATE(A1260, ""en"", ""fr"")"),"Bien dévié")</f>
        <v>Bien dévié</v>
      </c>
      <c r="E1260" s="1" t="s">
        <v>3</v>
      </c>
    </row>
    <row r="1261" spans="1:13" ht="14.25" customHeight="1" x14ac:dyDescent="0.3">
      <c r="A1261" s="1" t="s">
        <v>1403</v>
      </c>
      <c r="B1261" s="1" t="str">
        <f ca="1">IFERROR(__xludf.DUMMYFUNCTION("GOOGLETRANSLATE(A1261, ""en"", ""fr"")"),"Déviation")</f>
        <v>Déviation</v>
      </c>
      <c r="D1261" s="1" t="s">
        <v>4963</v>
      </c>
    </row>
    <row r="1262" spans="1:13" ht="14.25" customHeight="1" x14ac:dyDescent="0.3">
      <c r="A1262" s="1" t="s">
        <v>1404</v>
      </c>
      <c r="B1262" s="1" t="str">
        <f ca="1">IFERROR(__xludf.DUMMYFUNCTION("GOOGLETRANSLATE(A1262, ""en"", ""fr"")"),"Déviant")</f>
        <v>Déviant</v>
      </c>
      <c r="D1262" s="1" t="s">
        <v>4963</v>
      </c>
    </row>
    <row r="1263" spans="1:13" ht="14.25" customHeight="1" x14ac:dyDescent="0.3">
      <c r="A1263" s="1" t="s">
        <v>1405</v>
      </c>
      <c r="B1263" s="1" t="str">
        <f ca="1">IFERROR(__xludf.DUMMYFUNCTION("GOOGLETRANSLATE(A1263, ""en"", ""fr"")"),"DÉVIATION")</f>
        <v>DÉVIATION</v>
      </c>
      <c r="D1263" s="1" t="s">
        <v>4963</v>
      </c>
    </row>
    <row r="1264" spans="1:13" ht="14.25" customHeight="1" x14ac:dyDescent="0.3">
      <c r="A1264" s="1" t="s">
        <v>1406</v>
      </c>
      <c r="B1264" s="1" t="str">
        <f ca="1">IFERROR(__xludf.DUMMYFUNCTION("GOOGLETRANSLATE(A1264, ""en"", ""fr"")"),"Déviations")</f>
        <v>Déviations</v>
      </c>
      <c r="D1264" s="1" t="s">
        <v>4963</v>
      </c>
    </row>
    <row r="1265" spans="1:142" ht="14.25" customHeight="1" x14ac:dyDescent="0.3">
      <c r="A1265" s="1" t="s">
        <v>1407</v>
      </c>
      <c r="B1265" s="1" t="str">
        <f ca="1">IFERROR(__xludf.DUMMYFUNCTION("GOOGLETRANSLATE(A1265, ""en"", ""fr"")"),"DÉLÉGUER")</f>
        <v>DÉLÉGUER</v>
      </c>
      <c r="D1265" s="1" t="s">
        <v>4963</v>
      </c>
    </row>
    <row r="1266" spans="1:142" ht="14.25" customHeight="1" x14ac:dyDescent="0.3">
      <c r="A1266" s="1" t="s">
        <v>1408</v>
      </c>
      <c r="B1266" s="1" t="str">
        <f ca="1">IFERROR(__xludf.DUMMYFUNCTION("GOOGLETRANSLATE(A1266, ""en"", ""fr"")"),"DÉCONCENTRÉ")</f>
        <v>DÉCONCENTRÉ</v>
      </c>
      <c r="D1266" s="1" t="s">
        <v>4963</v>
      </c>
    </row>
    <row r="1267" spans="1:142" ht="14.25" customHeight="1" x14ac:dyDescent="0.3">
      <c r="A1267" s="1" t="s">
        <v>1409</v>
      </c>
      <c r="B1267" s="1" t="str">
        <f ca="1">IFERROR(__xludf.DUMMYFUNCTION("GOOGLETRANSLATE(A1267, ""en"", ""fr"")"),"Délocalité")</f>
        <v>Délocalité</v>
      </c>
      <c r="D1267" s="1" t="s">
        <v>4963</v>
      </c>
    </row>
    <row r="1268" spans="1:142" ht="14.25" customHeight="1" x14ac:dyDescent="0.3">
      <c r="A1268" s="1" t="s">
        <v>1410</v>
      </c>
      <c r="B1268" s="1" t="str">
        <f ca="1">IFERROR(__xludf.DUMMYFUNCTION("GOOGLETRANSLATE(A1268, ""en"", ""fr"")"),"Qui se développait")</f>
        <v>Qui se développait</v>
      </c>
      <c r="D1268" s="1" t="s">
        <v>4963</v>
      </c>
    </row>
    <row r="1269" spans="1:142" ht="14.25" customHeight="1" x14ac:dyDescent="0.3">
      <c r="A1269" s="1" t="s">
        <v>1411</v>
      </c>
      <c r="B1269" s="1" t="str">
        <f ca="1">IFERROR(__xludf.DUMMYFUNCTION("GOOGLETRANSLATE(A1269, ""en"", ""fr"")"),"a fait")</f>
        <v>a fait</v>
      </c>
      <c r="J1269" s="1" t="s">
        <v>7</v>
      </c>
    </row>
    <row r="1270" spans="1:142" ht="14.25" customHeight="1" x14ac:dyDescent="0.3">
      <c r="A1270" s="1" t="s">
        <v>1412</v>
      </c>
      <c r="B1270" s="1" t="str">
        <f ca="1">IFERROR(__xludf.DUMMYFUNCTION("GOOGLETRANSLATE(A1270, ""en"", ""fr"")"),"Gas-oil")</f>
        <v>Gas-oil</v>
      </c>
      <c r="EL1270" s="1" t="s">
        <v>139</v>
      </c>
    </row>
    <row r="1271" spans="1:142" ht="14.25" customHeight="1" x14ac:dyDescent="0.3">
      <c r="A1271" s="1" t="s">
        <v>1413</v>
      </c>
      <c r="B1271" s="1" t="str">
        <f ca="1">IFERROR(__xludf.DUMMYFUNCTION("GOOGLETRANSLATE(A1271, ""en"", ""fr"")"),"DIFFICILE")</f>
        <v>DIFFICILE</v>
      </c>
      <c r="D1271" s="1" t="s">
        <v>4963</v>
      </c>
    </row>
    <row r="1272" spans="1:142" ht="14.25" customHeight="1" x14ac:dyDescent="0.3">
      <c r="A1272" s="1" t="s">
        <v>1414</v>
      </c>
      <c r="B1272" s="1" t="str">
        <f ca="1">IFERROR(__xludf.DUMMYFUNCTION("GOOGLETRANSLATE(A1272, ""en"", ""fr"")"),"DES DIFFICULTÉS")</f>
        <v>DES DIFFICULTÉS</v>
      </c>
      <c r="D1272" s="1" t="s">
        <v>4963</v>
      </c>
    </row>
    <row r="1273" spans="1:142" ht="14.25" customHeight="1" x14ac:dyDescent="0.3">
      <c r="A1273" s="1" t="s">
        <v>1415</v>
      </c>
      <c r="B1273" s="1" t="str">
        <f ca="1">IFERROR(__xludf.DUMMYFUNCTION("GOOGLETRANSLATE(A1273, ""en"", ""fr"")"),"Mal")</f>
        <v>Mal</v>
      </c>
      <c r="D1273" s="1" t="s">
        <v>4963</v>
      </c>
    </row>
    <row r="1274" spans="1:142" ht="14.25" customHeight="1" x14ac:dyDescent="0.3">
      <c r="A1274" s="1" t="s">
        <v>1416</v>
      </c>
      <c r="B1274" s="1" t="str">
        <f ca="1">IFERROR(__xludf.DUMMYFUNCTION("GOOGLETRANSLATE(A1274, ""en"", ""fr"")"),"DIFFICULTÉ")</f>
        <v>DIFFICULTÉ</v>
      </c>
      <c r="D1274" s="1" t="s">
        <v>4963</v>
      </c>
    </row>
    <row r="1275" spans="1:142" ht="14.25" customHeight="1" x14ac:dyDescent="0.3">
      <c r="A1275" s="1" t="s">
        <v>1417</v>
      </c>
      <c r="B1275" s="1" t="str">
        <f ca="1">IFERROR(__xludf.DUMMYFUNCTION("GOOGLETRANSLATE(A1275, ""en"", ""fr"")"),"option numérique")</f>
        <v>option numérique</v>
      </c>
      <c r="Q1275" s="1" t="s">
        <v>14</v>
      </c>
    </row>
    <row r="1276" spans="1:142" ht="14.25" customHeight="1" x14ac:dyDescent="0.3">
      <c r="A1276" s="1" t="s">
        <v>1418</v>
      </c>
      <c r="B1276" s="1" t="str">
        <f ca="1">IFERROR(__xludf.DUMMYFUNCTION("GOOGLETRANSLATE(A1276, ""en"", ""fr"")"),"échange numérique")</f>
        <v>échange numérique</v>
      </c>
      <c r="Q1276" s="1" t="s">
        <v>14</v>
      </c>
    </row>
    <row r="1277" spans="1:142" ht="14.25" customHeight="1" x14ac:dyDescent="0.3">
      <c r="A1277" s="1" t="s">
        <v>1419</v>
      </c>
      <c r="B1277" s="1" t="str">
        <f ca="1">IFERROR(__xludf.DUMMYFUNCTION("GOOGLETRANSLATE(A1277, ""en"", ""fr"")"),"DILIGENT")</f>
        <v>DILIGENT</v>
      </c>
      <c r="H1277" s="1" t="s">
        <v>4964</v>
      </c>
    </row>
    <row r="1278" spans="1:142" ht="14.25" customHeight="1" x14ac:dyDescent="0.3">
      <c r="A1278" s="1" t="s">
        <v>1420</v>
      </c>
      <c r="B1278" s="1" t="str">
        <f ca="1">IFERROR(__xludf.DUMMYFUNCTION("GOOGLETRANSLATE(A1278, ""en"", ""fr"")"),"Avec diligence")</f>
        <v>Avec diligence</v>
      </c>
      <c r="H1278" s="1" t="s">
        <v>4964</v>
      </c>
    </row>
    <row r="1279" spans="1:142" ht="14.25" customHeight="1" x14ac:dyDescent="0.3">
      <c r="A1279" s="1" t="s">
        <v>1421</v>
      </c>
      <c r="B1279" s="1" t="str">
        <f ca="1">IFERROR(__xludf.DUMMYFUNCTION("GOOGLETRANSLATE(A1279, ""en"", ""fr"")"),"Diluant")</f>
        <v>Diluant</v>
      </c>
      <c r="EL1279" s="1" t="s">
        <v>139</v>
      </c>
    </row>
    <row r="1280" spans="1:142" ht="14.25" customHeight="1" x14ac:dyDescent="0.3">
      <c r="A1280" s="1" t="s">
        <v>1422</v>
      </c>
      <c r="B1280" s="1" t="str">
        <f ca="1">IFERROR(__xludf.DUMMYFUNCTION("GOOGLETRANSLATE(A1280, ""en"", ""fr"")"),"Bitume dilué")</f>
        <v>Bitume dilué</v>
      </c>
      <c r="EL1280" s="1" t="s">
        <v>139</v>
      </c>
    </row>
    <row r="1281" spans="1:96" ht="14.25" customHeight="1" x14ac:dyDescent="0.3">
      <c r="A1281" s="1" t="s">
        <v>1423</v>
      </c>
      <c r="B1281" s="1" t="str">
        <f ca="1">IFERROR(__xludf.DUMMYFUNCTION("GOOGLETRANSLATE(A1281, ""en"", ""fr"")"),"TALON")</f>
        <v>TALON</v>
      </c>
      <c r="D1281" s="1" t="s">
        <v>4963</v>
      </c>
    </row>
    <row r="1282" spans="1:96" ht="14.25" customHeight="1" x14ac:dyDescent="0.3">
      <c r="A1282" s="1" t="s">
        <v>1424</v>
      </c>
      <c r="B1282" s="1" t="str">
        <f ca="1">IFERROR(__xludf.DUMMYFUNCTION("GOOGLETRANSLATE(A1282, ""en"", ""fr"")"),"DIMINUÉ")</f>
        <v>DIMINUÉ</v>
      </c>
      <c r="D1282" s="1" t="s">
        <v>4963</v>
      </c>
    </row>
    <row r="1283" spans="1:96" ht="14.25" customHeight="1" x14ac:dyDescent="0.3">
      <c r="A1283" s="1" t="s">
        <v>1425</v>
      </c>
      <c r="B1283" s="1" t="str">
        <f ca="1">IFERROR(__xludf.DUMMYFUNCTION("GOOGLETRANSLATE(A1283, ""en"", ""fr"")"),"Diminue")</f>
        <v>Diminue</v>
      </c>
      <c r="D1283" s="1" t="s">
        <v>4963</v>
      </c>
    </row>
    <row r="1284" spans="1:96" ht="14.25" customHeight="1" x14ac:dyDescent="0.3">
      <c r="A1284" s="1" t="s">
        <v>1426</v>
      </c>
      <c r="B1284" s="1" t="str">
        <f ca="1">IFERROR(__xludf.DUMMYFUNCTION("GOOGLETRANSLATE(A1284, ""en"", ""fr"")"),"Diminuant")</f>
        <v>Diminuant</v>
      </c>
      <c r="D1284" s="1" t="s">
        <v>4963</v>
      </c>
    </row>
    <row r="1285" spans="1:96" ht="14.25" customHeight="1" x14ac:dyDescent="0.3">
      <c r="A1285" s="1" t="s">
        <v>1427</v>
      </c>
      <c r="B1285" s="1" t="str">
        <f ca="1">IFERROR(__xludf.DUMMYFUNCTION("GOOGLETRANSLATE(A1285, ""en"", ""fr"")"),"Les rendements marginaux décroissants")</f>
        <v>Les rendements marginaux décroissants</v>
      </c>
      <c r="M1285" s="1" t="s">
        <v>10</v>
      </c>
    </row>
    <row r="1286" spans="1:96" ht="14.25" customHeight="1" x14ac:dyDescent="0.3">
      <c r="A1286" s="1" t="s">
        <v>1428</v>
      </c>
      <c r="B1286" s="1" t="str">
        <f ca="1">IFERROR(__xludf.DUMMYFUNCTION("GOOGLETRANSLATE(A1286, ""en"", ""fr"")"),"rendement décroissant")</f>
        <v>rendement décroissant</v>
      </c>
      <c r="M1286" s="1" t="s">
        <v>10</v>
      </c>
    </row>
    <row r="1287" spans="1:96" ht="14.25" customHeight="1" x14ac:dyDescent="0.3">
      <c r="A1287" s="1" t="s">
        <v>1429</v>
      </c>
      <c r="B1287" s="1" t="str">
        <f ca="1">IFERROR(__xludf.DUMMYFUNCTION("GOOGLETRANSLATE(A1287, ""en"", ""fr"")"),"DIMINUTION")</f>
        <v>DIMINUTION</v>
      </c>
      <c r="D1287" s="1" t="s">
        <v>4963</v>
      </c>
    </row>
    <row r="1288" spans="1:96" ht="14.25" customHeight="1" x14ac:dyDescent="0.3">
      <c r="A1288" s="1" t="s">
        <v>1430</v>
      </c>
      <c r="B1288" s="1" t="str">
        <f ca="1">IFERROR(__xludf.DUMMYFUNCTION("GOOGLETRANSLATE(A1288, ""en"", ""fr"")"),"coûts directs")</f>
        <v>coûts directs</v>
      </c>
      <c r="CR1288" s="1" t="s">
        <v>93</v>
      </c>
    </row>
    <row r="1289" spans="1:96" ht="14.25" customHeight="1" x14ac:dyDescent="0.3">
      <c r="A1289" s="1" t="s">
        <v>1431</v>
      </c>
      <c r="B1289" s="1" t="str">
        <f ca="1">IFERROR(__xludf.DUMMYFUNCTION("GOOGLETRANSLATE(A1289, ""en"", ""fr"")"),"main-d'œuvre directe")</f>
        <v>main-d'œuvre directe</v>
      </c>
      <c r="CR1289" s="1" t="s">
        <v>93</v>
      </c>
    </row>
    <row r="1290" spans="1:96" ht="14.25" customHeight="1" x14ac:dyDescent="0.3">
      <c r="A1290" s="1" t="s">
        <v>1432</v>
      </c>
      <c r="B1290" s="1" t="str">
        <f ca="1">IFERROR(__xludf.DUMMYFUNCTION("GOOGLETRANSLATE(A1290, ""en"", ""fr"")"),"DÉSAVANTAGE")</f>
        <v>DÉSAVANTAGE</v>
      </c>
      <c r="D1290" s="1" t="s">
        <v>4963</v>
      </c>
    </row>
    <row r="1291" spans="1:96" ht="14.25" customHeight="1" x14ac:dyDescent="0.3">
      <c r="A1291" s="1" t="s">
        <v>1433</v>
      </c>
      <c r="B1291" s="1" t="str">
        <f ca="1">IFERROR(__xludf.DUMMYFUNCTION("GOOGLETRANSLATE(A1291, ""en"", ""fr"")"),"DÉFAVORISÉ")</f>
        <v>DÉFAVORISÉ</v>
      </c>
      <c r="D1291" s="1" t="s">
        <v>4963</v>
      </c>
    </row>
    <row r="1292" spans="1:96" ht="14.25" customHeight="1" x14ac:dyDescent="0.3">
      <c r="A1292" s="1" t="s">
        <v>1434</v>
      </c>
      <c r="B1292" s="1" t="str">
        <f ca="1">IFERROR(__xludf.DUMMYFUNCTION("GOOGLETRANSLATE(A1292, ""en"", ""fr"")"),"DÉSAVANTAGEUX")</f>
        <v>DÉSAVANTAGEUX</v>
      </c>
      <c r="D1292" s="1" t="s">
        <v>4963</v>
      </c>
    </row>
    <row r="1293" spans="1:96" ht="14.25" customHeight="1" x14ac:dyDescent="0.3">
      <c r="A1293" s="1" t="s">
        <v>1435</v>
      </c>
      <c r="B1293" s="1" t="str">
        <f ca="1">IFERROR(__xludf.DUMMYFUNCTION("GOOGLETRANSLATE(A1293, ""en"", ""fr"")"),"DÉSAVANTAGES")</f>
        <v>DÉSAVANTAGES</v>
      </c>
      <c r="D1293" s="1" t="s">
        <v>4963</v>
      </c>
    </row>
    <row r="1294" spans="1:96" ht="14.25" customHeight="1" x14ac:dyDescent="0.3">
      <c r="A1294" s="1" t="s">
        <v>1436</v>
      </c>
      <c r="B1294" s="1" t="str">
        <f ca="1">IFERROR(__xludf.DUMMYFUNCTION("GOOGLETRANSLATE(A1294, ""en"", ""fr"")"),"Désaffiliation")</f>
        <v>Désaffiliation</v>
      </c>
      <c r="D1294" s="1" t="s">
        <v>4963</v>
      </c>
    </row>
    <row r="1295" spans="1:96" ht="14.25" customHeight="1" x14ac:dyDescent="0.3">
      <c r="A1295" s="1" t="s">
        <v>1437</v>
      </c>
      <c r="B1295" s="1" t="str">
        <f ca="1">IFERROR(__xludf.DUMMYFUNCTION("GOOGLETRANSLATE(A1295, ""en"", ""fr"")"),"ÊTRE EN DÉSACCORD")</f>
        <v>ÊTRE EN DÉSACCORD</v>
      </c>
      <c r="D1295" s="1" t="s">
        <v>4963</v>
      </c>
    </row>
    <row r="1296" spans="1:96" ht="14.25" customHeight="1" x14ac:dyDescent="0.3">
      <c r="A1296" s="1" t="s">
        <v>1438</v>
      </c>
      <c r="B1296" s="1" t="str">
        <f ca="1">IFERROR(__xludf.DUMMYFUNCTION("GOOGLETRANSLATE(A1296, ""en"", ""fr"")"),"DÉSAGRÉABLE")</f>
        <v>DÉSAGRÉABLE</v>
      </c>
      <c r="D1296" s="1" t="s">
        <v>4963</v>
      </c>
    </row>
    <row r="1297" spans="1:4" ht="14.25" customHeight="1" x14ac:dyDescent="0.3">
      <c r="A1297" s="1" t="s">
        <v>1439</v>
      </c>
      <c r="B1297" s="1" t="str">
        <f ca="1">IFERROR(__xludf.DUMMYFUNCTION("GOOGLETRANSLATE(A1297, ""en"", ""fr"")"),"En désaccord")</f>
        <v>En désaccord</v>
      </c>
      <c r="D1297" s="1" t="s">
        <v>4963</v>
      </c>
    </row>
    <row r="1298" spans="1:4" ht="14.25" customHeight="1" x14ac:dyDescent="0.3">
      <c r="A1298" s="1" t="s">
        <v>1440</v>
      </c>
      <c r="B1298" s="1" t="str">
        <f ca="1">IFERROR(__xludf.DUMMYFUNCTION("GOOGLETRANSLATE(A1298, ""en"", ""fr"")"),"Être en désaccord")</f>
        <v>Être en désaccord</v>
      </c>
      <c r="D1298" s="1" t="s">
        <v>4963</v>
      </c>
    </row>
    <row r="1299" spans="1:4" ht="14.25" customHeight="1" x14ac:dyDescent="0.3">
      <c r="A1299" s="1" t="s">
        <v>1441</v>
      </c>
      <c r="B1299" s="1" t="str">
        <f ca="1">IFERROR(__xludf.DUMMYFUNCTION("GOOGLETRANSLATE(A1299, ""en"", ""fr"")"),"DÉSACCORD")</f>
        <v>DÉSACCORD</v>
      </c>
      <c r="D1299" s="1" t="s">
        <v>4963</v>
      </c>
    </row>
    <row r="1300" spans="1:4" ht="14.25" customHeight="1" x14ac:dyDescent="0.3">
      <c r="A1300" s="1" t="s">
        <v>1442</v>
      </c>
      <c r="B1300" s="1" t="str">
        <f ca="1">IFERROR(__xludf.DUMMYFUNCTION("GOOGLETRANSLATE(A1300, ""en"", ""fr"")"),"Désaccord")</f>
        <v>Désaccord</v>
      </c>
      <c r="D1300" s="1" t="s">
        <v>4963</v>
      </c>
    </row>
    <row r="1301" spans="1:4" ht="14.25" customHeight="1" x14ac:dyDescent="0.3">
      <c r="A1301" s="1" t="s">
        <v>1443</v>
      </c>
      <c r="B1301" s="1" t="str">
        <f ca="1">IFERROR(__xludf.DUMMYFUNCTION("GOOGLETRANSLATE(A1301, ""en"", ""fr"")"),"Désaccord")</f>
        <v>Désaccord</v>
      </c>
      <c r="D1301" s="1" t="s">
        <v>4963</v>
      </c>
    </row>
    <row r="1302" spans="1:4" ht="14.25" customHeight="1" x14ac:dyDescent="0.3">
      <c r="A1302" s="1" t="s">
        <v>1444</v>
      </c>
      <c r="B1302" s="1" t="str">
        <f ca="1">IFERROR(__xludf.DUMMYFUNCTION("GOOGLETRANSLATE(A1302, ""en"", ""fr"")"),"REFUSER")</f>
        <v>REFUSER</v>
      </c>
      <c r="D1302" s="1" t="s">
        <v>4963</v>
      </c>
    </row>
    <row r="1303" spans="1:4" ht="14.25" customHeight="1" x14ac:dyDescent="0.3">
      <c r="A1303" s="1" t="s">
        <v>1445</v>
      </c>
      <c r="B1303" s="1" t="str">
        <f ca="1">IFERROR(__xludf.DUMMYFUNCTION("GOOGLETRANSLATE(A1303, ""en"", ""fr"")"),"Interdiction")</f>
        <v>Interdiction</v>
      </c>
      <c r="D1303" s="1" t="s">
        <v>4963</v>
      </c>
    </row>
    <row r="1304" spans="1:4" ht="14.25" customHeight="1" x14ac:dyDescent="0.3">
      <c r="A1304" s="1" t="s">
        <v>1446</v>
      </c>
      <c r="B1304" s="1" t="str">
        <f ca="1">IFERROR(__xludf.DUMMYFUNCTION("GOOGLETRANSLATE(A1304, ""en"", ""fr"")"),"Interdictions")</f>
        <v>Interdictions</v>
      </c>
      <c r="D1304" s="1" t="s">
        <v>4963</v>
      </c>
    </row>
    <row r="1305" spans="1:4" ht="14.25" customHeight="1" x14ac:dyDescent="0.3">
      <c r="A1305" s="1" t="s">
        <v>1447</v>
      </c>
      <c r="B1305" s="1" t="str">
        <f ca="1">IFERROR(__xludf.DUMMYFUNCTION("GOOGLETRANSLATE(A1305, ""en"", ""fr"")"),"Interdit")</f>
        <v>Interdit</v>
      </c>
      <c r="D1305" s="1" t="s">
        <v>4963</v>
      </c>
    </row>
    <row r="1306" spans="1:4" ht="14.25" customHeight="1" x14ac:dyDescent="0.3">
      <c r="A1306" s="1" t="s">
        <v>1448</v>
      </c>
      <c r="B1306" s="1" t="str">
        <f ca="1">IFERROR(__xludf.DUMMYFUNCTION("GOOGLETRANSLATE(A1306, ""en"", ""fr"")"),"Interdiction")</f>
        <v>Interdiction</v>
      </c>
      <c r="D1306" s="1" t="s">
        <v>4963</v>
      </c>
    </row>
    <row r="1307" spans="1:4" ht="14.25" customHeight="1" x14ac:dyDescent="0.3">
      <c r="A1307" s="1" t="s">
        <v>1449</v>
      </c>
      <c r="B1307" s="1" t="str">
        <f ca="1">IFERROR(__xludf.DUMMYFUNCTION("GOOGLETRANSLATE(A1307, ""en"", ""fr"")"),"Interdire")</f>
        <v>Interdire</v>
      </c>
      <c r="D1307" s="1" t="s">
        <v>4963</v>
      </c>
    </row>
    <row r="1308" spans="1:4" ht="14.25" customHeight="1" x14ac:dyDescent="0.3">
      <c r="A1308" s="1" t="s">
        <v>1450</v>
      </c>
      <c r="B1308" s="1" t="str">
        <f ca="1">IFERROR(__xludf.DUMMYFUNCTION("GOOGLETRANSLATE(A1308, ""en"", ""fr"")"),"DISPARAÎTRE")</f>
        <v>DISPARAÎTRE</v>
      </c>
      <c r="D1308" s="1" t="s">
        <v>4963</v>
      </c>
    </row>
    <row r="1309" spans="1:4" ht="14.25" customHeight="1" x14ac:dyDescent="0.3">
      <c r="A1309" s="1" t="s">
        <v>1451</v>
      </c>
      <c r="B1309" s="1" t="str">
        <f ca="1">IFERROR(__xludf.DUMMYFUNCTION("GOOGLETRANSLATE(A1309, ""en"", ""fr"")"),"DISPARITION")</f>
        <v>DISPARITION</v>
      </c>
      <c r="D1309" s="1" t="s">
        <v>4963</v>
      </c>
    </row>
    <row r="1310" spans="1:4" ht="14.25" customHeight="1" x14ac:dyDescent="0.3">
      <c r="A1310" s="1" t="s">
        <v>1452</v>
      </c>
      <c r="B1310" s="1" t="str">
        <f ca="1">IFERROR(__xludf.DUMMYFUNCTION("GOOGLETRANSLATE(A1310, ""en"", ""fr"")"),"Disparitions")</f>
        <v>Disparitions</v>
      </c>
      <c r="D1310" s="1" t="s">
        <v>4963</v>
      </c>
    </row>
    <row r="1311" spans="1:4" ht="14.25" customHeight="1" x14ac:dyDescent="0.3">
      <c r="A1311" s="1" t="s">
        <v>1453</v>
      </c>
      <c r="B1311" s="1" t="str">
        <f ca="1">IFERROR(__xludf.DUMMYFUNCTION("GOOGLETRANSLATE(A1311, ""en"", ""fr"")"),"DISPARU")</f>
        <v>DISPARU</v>
      </c>
      <c r="D1311" s="1" t="s">
        <v>4963</v>
      </c>
    </row>
    <row r="1312" spans="1:4" ht="14.25" customHeight="1" x14ac:dyDescent="0.3">
      <c r="A1312" s="1" t="s">
        <v>1454</v>
      </c>
      <c r="B1312" s="1" t="str">
        <f ca="1">IFERROR(__xludf.DUMMYFUNCTION("GOOGLETRANSLATE(A1312, ""en"", ""fr"")"),"Disparaissant")</f>
        <v>Disparaissant</v>
      </c>
      <c r="D1312" s="1" t="s">
        <v>4963</v>
      </c>
    </row>
    <row r="1313" spans="1:4" ht="14.25" customHeight="1" x14ac:dyDescent="0.3">
      <c r="A1313" s="1" t="s">
        <v>1455</v>
      </c>
      <c r="B1313" s="1" t="str">
        <f ca="1">IFERROR(__xludf.DUMMYFUNCTION("GOOGLETRANSLATE(A1313, ""en"", ""fr"")"),"Disparaît")</f>
        <v>Disparaît</v>
      </c>
      <c r="D1313" s="1" t="s">
        <v>4963</v>
      </c>
    </row>
    <row r="1314" spans="1:4" ht="14.25" customHeight="1" x14ac:dyDescent="0.3">
      <c r="A1314" s="1" t="s">
        <v>1456</v>
      </c>
      <c r="B1314" s="1" t="str">
        <f ca="1">IFERROR(__xludf.DUMMYFUNCTION("GOOGLETRANSLATE(A1314, ""en"", ""fr"")"),"DÉCEVOIR")</f>
        <v>DÉCEVOIR</v>
      </c>
      <c r="D1314" s="1" t="s">
        <v>4963</v>
      </c>
    </row>
    <row r="1315" spans="1:4" ht="14.25" customHeight="1" x14ac:dyDescent="0.3">
      <c r="A1315" s="1" t="s">
        <v>1457</v>
      </c>
      <c r="B1315" s="1" t="str">
        <f ca="1">IFERROR(__xludf.DUMMYFUNCTION("GOOGLETRANSLATE(A1315, ""en"", ""fr"")"),"DÉÇU")</f>
        <v>DÉÇU</v>
      </c>
      <c r="D1315" s="1" t="s">
        <v>4963</v>
      </c>
    </row>
    <row r="1316" spans="1:4" ht="14.25" customHeight="1" x14ac:dyDescent="0.3">
      <c r="A1316" s="1" t="s">
        <v>1458</v>
      </c>
      <c r="B1316" s="1" t="str">
        <f ca="1">IFERROR(__xludf.DUMMYFUNCTION("GOOGLETRANSLATE(A1316, ""en"", ""fr"")"),"DÉCEVANT")</f>
        <v>DÉCEVANT</v>
      </c>
      <c r="D1316" s="1" t="s">
        <v>4963</v>
      </c>
    </row>
    <row r="1317" spans="1:4" ht="14.25" customHeight="1" x14ac:dyDescent="0.3">
      <c r="A1317" s="1" t="s">
        <v>1459</v>
      </c>
      <c r="B1317" s="1" t="str">
        <f ca="1">IFERROR(__xludf.DUMMYFUNCTION("GOOGLETRANSLATE(A1317, ""en"", ""fr"")"),"Décevant")</f>
        <v>Décevant</v>
      </c>
      <c r="D1317" s="1" t="s">
        <v>4963</v>
      </c>
    </row>
    <row r="1318" spans="1:4" ht="14.25" customHeight="1" x14ac:dyDescent="0.3">
      <c r="A1318" s="1" t="s">
        <v>1460</v>
      </c>
      <c r="B1318" s="1" t="str">
        <f ca="1">IFERROR(__xludf.DUMMYFUNCTION("GOOGLETRANSLATE(A1318, ""en"", ""fr"")"),"DÉCEPTION")</f>
        <v>DÉCEPTION</v>
      </c>
      <c r="D1318" s="1" t="s">
        <v>4963</v>
      </c>
    </row>
    <row r="1319" spans="1:4" ht="14.25" customHeight="1" x14ac:dyDescent="0.3">
      <c r="A1319" s="1" t="s">
        <v>1461</v>
      </c>
      <c r="B1319" s="1" t="str">
        <f ca="1">IFERROR(__xludf.DUMMYFUNCTION("GOOGLETRANSLATE(A1319, ""en"", ""fr"")"),"Déceptions")</f>
        <v>Déceptions</v>
      </c>
      <c r="D1319" s="1" t="s">
        <v>4963</v>
      </c>
    </row>
    <row r="1320" spans="1:4" ht="14.25" customHeight="1" x14ac:dyDescent="0.3">
      <c r="A1320" s="1" t="s">
        <v>1462</v>
      </c>
      <c r="B1320" s="1" t="str">
        <f ca="1">IFERROR(__xludf.DUMMYFUNCTION("GOOGLETRANSLATE(A1320, ""en"", ""fr"")"),"Déçus")</f>
        <v>Déçus</v>
      </c>
      <c r="D1320" s="1" t="s">
        <v>4963</v>
      </c>
    </row>
    <row r="1321" spans="1:4" ht="14.25" customHeight="1" x14ac:dyDescent="0.3">
      <c r="A1321" s="1" t="s">
        <v>1463</v>
      </c>
      <c r="B1321" s="1" t="str">
        <f ca="1">IFERROR(__xludf.DUMMYFUNCTION("GOOGLETRANSLATE(A1321, ""en"", ""fr"")"),"DÉSAPPROBATION")</f>
        <v>DÉSAPPROBATION</v>
      </c>
      <c r="D1321" s="1" t="s">
        <v>4963</v>
      </c>
    </row>
    <row r="1322" spans="1:4" ht="14.25" customHeight="1" x14ac:dyDescent="0.3">
      <c r="A1322" s="1" t="s">
        <v>1464</v>
      </c>
      <c r="B1322" s="1" t="str">
        <f ca="1">IFERROR(__xludf.DUMMYFUNCTION("GOOGLETRANSLATE(A1322, ""en"", ""fr"")"),"Désapprobation")</f>
        <v>Désapprobation</v>
      </c>
      <c r="D1322" s="1" t="s">
        <v>4963</v>
      </c>
    </row>
    <row r="1323" spans="1:4" ht="14.25" customHeight="1" x14ac:dyDescent="0.3">
      <c r="A1323" s="1" t="s">
        <v>1465</v>
      </c>
      <c r="B1323" s="1" t="str">
        <f ca="1">IFERROR(__xludf.DUMMYFUNCTION("GOOGLETRANSLATE(A1323, ""en"", ""fr"")"),"DÉSAPPROUVER")</f>
        <v>DÉSAPPROUVER</v>
      </c>
      <c r="D1323" s="1" t="s">
        <v>4963</v>
      </c>
    </row>
    <row r="1324" spans="1:4" ht="14.25" customHeight="1" x14ac:dyDescent="0.3">
      <c r="A1324" s="1" t="s">
        <v>1466</v>
      </c>
      <c r="B1324" s="1" t="str">
        <f ca="1">IFERROR(__xludf.DUMMYFUNCTION("GOOGLETRANSLATE(A1324, ""en"", ""fr"")"),"Désapprouvé")</f>
        <v>Désapprouvé</v>
      </c>
      <c r="D1324" s="1" t="s">
        <v>4963</v>
      </c>
    </row>
    <row r="1325" spans="1:4" ht="14.25" customHeight="1" x14ac:dyDescent="0.3">
      <c r="A1325" s="1" t="s">
        <v>1467</v>
      </c>
      <c r="B1325" s="1" t="str">
        <f ca="1">IFERROR(__xludf.DUMMYFUNCTION("GOOGLETRANSLATE(A1325, ""en"", ""fr"")"),"Désapprouver")</f>
        <v>Désapprouver</v>
      </c>
      <c r="D1325" s="1" t="s">
        <v>4963</v>
      </c>
    </row>
    <row r="1326" spans="1:4" ht="14.25" customHeight="1" x14ac:dyDescent="0.3">
      <c r="A1326" s="1" t="s">
        <v>1468</v>
      </c>
      <c r="B1326" s="1" t="str">
        <f ca="1">IFERROR(__xludf.DUMMYFUNCTION("GOOGLETRANSLATE(A1326, ""en"", ""fr"")"),"DÉSAPPROBATEUR")</f>
        <v>DÉSAPPROBATEUR</v>
      </c>
      <c r="D1326" s="1" t="s">
        <v>4963</v>
      </c>
    </row>
    <row r="1327" spans="1:4" ht="14.25" customHeight="1" x14ac:dyDescent="0.3">
      <c r="A1327" s="1" t="s">
        <v>1469</v>
      </c>
      <c r="B1327" s="1" t="str">
        <f ca="1">IFERROR(__xludf.DUMMYFUNCTION("GOOGLETRANSLATE(A1327, ""en"", ""fr"")"),"Dissocier")</f>
        <v>Dissocier</v>
      </c>
      <c r="D1327" s="1" t="s">
        <v>4963</v>
      </c>
    </row>
    <row r="1328" spans="1:4" ht="14.25" customHeight="1" x14ac:dyDescent="0.3">
      <c r="A1328" s="1" t="s">
        <v>1470</v>
      </c>
      <c r="B1328" s="1" t="str">
        <f ca="1">IFERROR(__xludf.DUMMYFUNCTION("GOOGLETRANSLATE(A1328, ""en"", ""fr"")"),"Dissociant")</f>
        <v>Dissociant</v>
      </c>
      <c r="D1328" s="1" t="s">
        <v>4963</v>
      </c>
    </row>
    <row r="1329" spans="1:4" ht="14.25" customHeight="1" x14ac:dyDescent="0.3">
      <c r="A1329" s="1" t="s">
        <v>1471</v>
      </c>
      <c r="B1329" s="1" t="str">
        <f ca="1">IFERROR(__xludf.DUMMYFUNCTION("GOOGLETRANSLATE(A1329, ""en"", ""fr"")"),"DISSOCIATION")</f>
        <v>DISSOCIATION</v>
      </c>
      <c r="D1329" s="1" t="s">
        <v>4963</v>
      </c>
    </row>
    <row r="1330" spans="1:4" ht="14.25" customHeight="1" x14ac:dyDescent="0.3">
      <c r="A1330" s="1" t="s">
        <v>1472</v>
      </c>
      <c r="B1330" s="1" t="str">
        <f ca="1">IFERROR(__xludf.DUMMYFUNCTION("GOOGLETRANSLATE(A1330, ""en"", ""fr"")"),"Dissociations")</f>
        <v>Dissociations</v>
      </c>
      <c r="D1330" s="1" t="s">
        <v>4963</v>
      </c>
    </row>
    <row r="1331" spans="1:4" ht="14.25" customHeight="1" x14ac:dyDescent="0.3">
      <c r="A1331" s="1" t="s">
        <v>1473</v>
      </c>
      <c r="B1331" s="1" t="str">
        <f ca="1">IFERROR(__xludf.DUMMYFUNCTION("GOOGLETRANSLATE(A1331, ""en"", ""fr"")"),"CATASTROPHE")</f>
        <v>CATASTROPHE</v>
      </c>
      <c r="D1331" s="1" t="s">
        <v>4963</v>
      </c>
    </row>
    <row r="1332" spans="1:4" ht="14.25" customHeight="1" x14ac:dyDescent="0.3">
      <c r="A1332" s="1" t="s">
        <v>1474</v>
      </c>
      <c r="B1332" s="1" t="str">
        <f ca="1">IFERROR(__xludf.DUMMYFUNCTION("GOOGLETRANSLATE(A1332, ""en"", ""fr"")"),"Catastrophes")</f>
        <v>Catastrophes</v>
      </c>
      <c r="D1332" s="1" t="s">
        <v>4963</v>
      </c>
    </row>
    <row r="1333" spans="1:4" ht="14.25" customHeight="1" x14ac:dyDescent="0.3">
      <c r="A1333" s="1" t="s">
        <v>1475</v>
      </c>
      <c r="B1333" s="1" t="str">
        <f ca="1">IFERROR(__xludf.DUMMYFUNCTION("GOOGLETRANSLATE(A1333, ""en"", ""fr"")"),"CATASTROPHIQUE")</f>
        <v>CATASTROPHIQUE</v>
      </c>
      <c r="D1333" s="1" t="s">
        <v>4963</v>
      </c>
    </row>
    <row r="1334" spans="1:4" ht="14.25" customHeight="1" x14ac:dyDescent="0.3">
      <c r="A1334" s="1" t="s">
        <v>1476</v>
      </c>
      <c r="B1334" s="1" t="str">
        <f ca="1">IFERROR(__xludf.DUMMYFUNCTION("GOOGLETRANSLATE(A1334, ""en"", ""fr"")"),"Désastreusement")</f>
        <v>Désastreusement</v>
      </c>
      <c r="D1334" s="1" t="s">
        <v>4963</v>
      </c>
    </row>
    <row r="1335" spans="1:4" ht="14.25" customHeight="1" x14ac:dyDescent="0.3">
      <c r="A1335" s="1" t="s">
        <v>1477</v>
      </c>
      <c r="B1335" s="1" t="str">
        <f ca="1">IFERROR(__xludf.DUMMYFUNCTION("GOOGLETRANSLATE(A1335, ""en"", ""fr"")"),"DÉSAVOUER")</f>
        <v>DÉSAVOUER</v>
      </c>
      <c r="D1335" s="1" t="s">
        <v>4963</v>
      </c>
    </row>
    <row r="1336" spans="1:4" ht="14.25" customHeight="1" x14ac:dyDescent="0.3">
      <c r="A1336" s="1" t="s">
        <v>1478</v>
      </c>
      <c r="B1336" s="1" t="str">
        <f ca="1">IFERROR(__xludf.DUMMYFUNCTION("GOOGLETRANSLATE(A1336, ""en"", ""fr"")"),"DÉSAVEU")</f>
        <v>DÉSAVEU</v>
      </c>
      <c r="D1336" s="1" t="s">
        <v>4963</v>
      </c>
    </row>
    <row r="1337" spans="1:4" ht="14.25" customHeight="1" x14ac:dyDescent="0.3">
      <c r="A1337" s="1" t="s">
        <v>1479</v>
      </c>
      <c r="B1337" s="1" t="str">
        <f ca="1">IFERROR(__xludf.DUMMYFUNCTION("GOOGLETRANSLATE(A1337, ""en"", ""fr"")"),"Désavéré")</f>
        <v>Désavéré</v>
      </c>
      <c r="D1337" s="1" t="s">
        <v>4963</v>
      </c>
    </row>
    <row r="1338" spans="1:4" ht="14.25" customHeight="1" x14ac:dyDescent="0.3">
      <c r="A1338" s="1" t="s">
        <v>1480</v>
      </c>
      <c r="B1338" s="1" t="str">
        <f ca="1">IFERROR(__xludf.DUMMYFUNCTION("GOOGLETRANSLATE(A1338, ""en"", ""fr"")"),"Désavouage")</f>
        <v>Désavouage</v>
      </c>
      <c r="D1338" s="1" t="s">
        <v>4963</v>
      </c>
    </row>
    <row r="1339" spans="1:4" ht="14.25" customHeight="1" x14ac:dyDescent="0.3">
      <c r="A1339" s="1" t="s">
        <v>1481</v>
      </c>
      <c r="B1339" s="1" t="str">
        <f ca="1">IFERROR(__xludf.DUMMYFUNCTION("GOOGLETRANSLATE(A1339, ""en"", ""fr"")"),"Désaveu")</f>
        <v>Désaveu</v>
      </c>
      <c r="D1339" s="1" t="s">
        <v>4963</v>
      </c>
    </row>
    <row r="1340" spans="1:4" ht="14.25" customHeight="1" x14ac:dyDescent="0.3">
      <c r="A1340" s="1" t="s">
        <v>1482</v>
      </c>
      <c r="B1340" s="1" t="str">
        <f ca="1">IFERROR(__xludf.DUMMYFUNCTION("GOOGLETRANSLATE(A1340, ""en"", ""fr"")"),"DISCIPLINAIRE")</f>
        <v>DISCIPLINAIRE</v>
      </c>
      <c r="D1340" s="1" t="s">
        <v>4963</v>
      </c>
    </row>
    <row r="1341" spans="1:4" ht="14.25" customHeight="1" x14ac:dyDescent="0.3">
      <c r="A1341" s="1" t="s">
        <v>1483</v>
      </c>
      <c r="B1341" s="1" t="str">
        <f ca="1">IFERROR(__xludf.DUMMYFUNCTION("GOOGLETRANSLATE(A1341, ""en"", ""fr"")"),"DÉSAVOUER")</f>
        <v>DÉSAVOUER</v>
      </c>
      <c r="D1341" s="1" t="s">
        <v>4963</v>
      </c>
    </row>
    <row r="1342" spans="1:4" ht="14.25" customHeight="1" x14ac:dyDescent="0.3">
      <c r="A1342" s="1" t="s">
        <v>1484</v>
      </c>
      <c r="B1342" s="1" t="str">
        <f ca="1">IFERROR(__xludf.DUMMYFUNCTION("GOOGLETRANSLATE(A1342, ""en"", ""fr"")"),"Déclin")</f>
        <v>Déclin</v>
      </c>
      <c r="D1342" s="1" t="s">
        <v>4963</v>
      </c>
    </row>
    <row r="1343" spans="1:4" ht="14.25" customHeight="1" x14ac:dyDescent="0.3">
      <c r="A1343" s="1" t="s">
        <v>1485</v>
      </c>
      <c r="B1343" s="1" t="str">
        <f ca="1">IFERROR(__xludf.DUMMYFUNCTION("GOOGLETRANSLATE(A1343, ""en"", ""fr"")"),"CLAUSE DE NON-RESPONSABILITÉ")</f>
        <v>CLAUSE DE NON-RESPONSABILITÉ</v>
      </c>
      <c r="D1343" s="1" t="s">
        <v>4963</v>
      </c>
    </row>
    <row r="1344" spans="1:4" ht="14.25" customHeight="1" x14ac:dyDescent="0.3">
      <c r="A1344" s="1" t="s">
        <v>1486</v>
      </c>
      <c r="B1344" s="1" t="str">
        <f ca="1">IFERROR(__xludf.DUMMYFUNCTION("GOOGLETRANSLATE(A1344, ""en"", ""fr"")"),"Avertissement")</f>
        <v>Avertissement</v>
      </c>
      <c r="D1344" s="1" t="s">
        <v>4963</v>
      </c>
    </row>
    <row r="1345" spans="1:96" ht="14.25" customHeight="1" x14ac:dyDescent="0.3">
      <c r="A1345" s="1" t="s">
        <v>1487</v>
      </c>
      <c r="B1345" s="1" t="str">
        <f ca="1">IFERROR(__xludf.DUMMYFUNCTION("GOOGLETRANSLATE(A1345, ""en"", ""fr"")"),"DÉSAVEU")</f>
        <v>DÉSAVEU</v>
      </c>
      <c r="D1345" s="1" t="s">
        <v>4963</v>
      </c>
    </row>
    <row r="1346" spans="1:96" ht="14.25" customHeight="1" x14ac:dyDescent="0.3">
      <c r="A1346" s="1" t="s">
        <v>1488</v>
      </c>
      <c r="B1346" s="1" t="str">
        <f ca="1">IFERROR(__xludf.DUMMYFUNCTION("GOOGLETRANSLATE(A1346, ""en"", ""fr"")"),"Déclin")</f>
        <v>Déclin</v>
      </c>
      <c r="D1346" s="1" t="s">
        <v>4963</v>
      </c>
    </row>
    <row r="1347" spans="1:96" ht="14.25" customHeight="1" x14ac:dyDescent="0.3">
      <c r="A1347" s="1" t="s">
        <v>1489</v>
      </c>
      <c r="B1347" s="1" t="str">
        <f ca="1">IFERROR(__xludf.DUMMYFUNCTION("GOOGLETRANSLATE(A1347, ""en"", ""fr"")"),"DIVULGUER")</f>
        <v>DIVULGUER</v>
      </c>
      <c r="D1347" s="1" t="s">
        <v>4963</v>
      </c>
    </row>
    <row r="1348" spans="1:96" ht="14.25" customHeight="1" x14ac:dyDescent="0.3">
      <c r="A1348" s="1" t="s">
        <v>1490</v>
      </c>
      <c r="B1348" s="1" t="str">
        <f ca="1">IFERROR(__xludf.DUMMYFUNCTION("GOOGLETRANSLATE(A1348, ""en"", ""fr"")"),"Divulgué")</f>
        <v>Divulgué</v>
      </c>
      <c r="D1348" s="1" t="s">
        <v>4963</v>
      </c>
    </row>
    <row r="1349" spans="1:96" ht="14.25" customHeight="1" x14ac:dyDescent="0.3">
      <c r="A1349" s="1" t="s">
        <v>1491</v>
      </c>
      <c r="B1349" s="1" t="str">
        <f ca="1">IFERROR(__xludf.DUMMYFUNCTION("GOOGLETRANSLATE(A1349, ""en"", ""fr"")"),"Divulguer")</f>
        <v>Divulguer</v>
      </c>
      <c r="D1349" s="1" t="s">
        <v>4963</v>
      </c>
    </row>
    <row r="1350" spans="1:96" ht="14.25" customHeight="1" x14ac:dyDescent="0.3">
      <c r="A1350" s="1" t="s">
        <v>1492</v>
      </c>
      <c r="B1350" s="1" t="str">
        <f ca="1">IFERROR(__xludf.DUMMYFUNCTION("GOOGLETRANSLATE(A1350, ""en"", ""fr"")"),"Divulgation")</f>
        <v>Divulgation</v>
      </c>
      <c r="D1350" s="1" t="s">
        <v>4963</v>
      </c>
    </row>
    <row r="1351" spans="1:96" ht="14.25" customHeight="1" x14ac:dyDescent="0.3">
      <c r="A1351" s="1" t="s">
        <v>1493</v>
      </c>
      <c r="B1351" s="1" t="str">
        <f ca="1">IFERROR(__xludf.DUMMYFUNCTION("GOOGLETRANSLATE(A1351, ""en"", ""fr"")"),"INTERRUPTION")</f>
        <v>INTERRUPTION</v>
      </c>
      <c r="D1351" s="1" t="s">
        <v>4963</v>
      </c>
    </row>
    <row r="1352" spans="1:96" ht="14.25" customHeight="1" x14ac:dyDescent="0.3">
      <c r="A1352" s="1" t="s">
        <v>1494</v>
      </c>
      <c r="B1352" s="1" t="str">
        <f ca="1">IFERROR(__xludf.DUMMYFUNCTION("GOOGLETRANSLATE(A1352, ""en"", ""fr"")"),"Interruptions")</f>
        <v>Interruptions</v>
      </c>
      <c r="D1352" s="1" t="s">
        <v>4963</v>
      </c>
    </row>
    <row r="1353" spans="1:96" ht="14.25" customHeight="1" x14ac:dyDescent="0.3">
      <c r="A1353" s="1" t="s">
        <v>1495</v>
      </c>
      <c r="B1353" s="1" t="str">
        <f ca="1">IFERROR(__xludf.DUMMYFUNCTION("GOOGLETRANSLATE(A1353, ""en"", ""fr"")"),"ARRÊT")</f>
        <v>ARRÊT</v>
      </c>
      <c r="D1353" s="1" t="s">
        <v>4963</v>
      </c>
    </row>
    <row r="1354" spans="1:96" ht="14.25" customHeight="1" x14ac:dyDescent="0.3">
      <c r="A1354" s="1" t="s">
        <v>1496</v>
      </c>
      <c r="B1354" s="1" t="str">
        <f ca="1">IFERROR(__xludf.DUMMYFUNCTION("GOOGLETRANSLATE(A1354, ""en"", ""fr"")"),"Interruptions")</f>
        <v>Interruptions</v>
      </c>
      <c r="D1354" s="1" t="s">
        <v>4963</v>
      </c>
    </row>
    <row r="1355" spans="1:96" ht="14.25" customHeight="1" x14ac:dyDescent="0.3">
      <c r="A1355" s="1" t="s">
        <v>1497</v>
      </c>
      <c r="B1355" s="1" t="str">
        <f ca="1">IFERROR(__xludf.DUMMYFUNCTION("GOOGLETRANSLATE(A1355, ""en"", ""fr"")"),"CESSER")</f>
        <v>CESSER</v>
      </c>
      <c r="D1355" s="1" t="s">
        <v>4963</v>
      </c>
    </row>
    <row r="1356" spans="1:96" ht="14.25" customHeight="1" x14ac:dyDescent="0.3">
      <c r="A1356" s="1" t="s">
        <v>1498</v>
      </c>
      <c r="B1356" s="1" t="str">
        <f ca="1">IFERROR(__xludf.DUMMYFUNCTION("GOOGLETRANSLATE(A1356, ""en"", ""fr"")"),"Interrompu")</f>
        <v>Interrompu</v>
      </c>
      <c r="D1356" s="1" t="s">
        <v>4963</v>
      </c>
    </row>
    <row r="1357" spans="1:96" ht="14.25" customHeight="1" x14ac:dyDescent="0.3">
      <c r="A1357" s="1" t="s">
        <v>1499</v>
      </c>
      <c r="B1357" s="1" t="str">
        <f ca="1">IFERROR(__xludf.DUMMYFUNCTION("GOOGLETRANSLATE(A1357, ""en"", ""fr"")"),"Interrompre")</f>
        <v>Interrompre</v>
      </c>
      <c r="D1357" s="1" t="s">
        <v>4963</v>
      </c>
    </row>
    <row r="1358" spans="1:96" ht="14.25" customHeight="1" x14ac:dyDescent="0.3">
      <c r="A1358" s="1" t="s">
        <v>1500</v>
      </c>
      <c r="B1358" s="1" t="str">
        <f ca="1">IFERROR(__xludf.DUMMYFUNCTION("GOOGLETRANSLATE(A1358, ""en"", ""fr"")"),"Désactiver")</f>
        <v>Désactiver</v>
      </c>
      <c r="D1358" s="1" t="s">
        <v>4963</v>
      </c>
    </row>
    <row r="1359" spans="1:96" ht="14.25" customHeight="1" x14ac:dyDescent="0.3">
      <c r="A1359" s="1" t="s">
        <v>1501</v>
      </c>
      <c r="B1359" s="1" t="str">
        <f ca="1">IFERROR(__xludf.DUMMYFUNCTION("GOOGLETRANSLATE(A1359, ""en"", ""fr"")"),"taux de remise")</f>
        <v>taux de remise</v>
      </c>
      <c r="M1359" s="1" t="s">
        <v>10</v>
      </c>
    </row>
    <row r="1360" spans="1:96" ht="14.25" customHeight="1" x14ac:dyDescent="0.3">
      <c r="A1360" s="1" t="s">
        <v>1502</v>
      </c>
      <c r="B1360" s="1" t="str">
        <f ca="1">IFERROR(__xludf.DUMMYFUNCTION("GOOGLETRANSLATE(A1360, ""en"", ""fr"")"),"actualité")</f>
        <v>actualité</v>
      </c>
      <c r="CR1360" s="1" t="s">
        <v>93</v>
      </c>
    </row>
    <row r="1361" spans="1:51" ht="14.25" customHeight="1" x14ac:dyDescent="0.3">
      <c r="A1361" s="1" t="s">
        <v>1503</v>
      </c>
      <c r="B1361" s="1" t="str">
        <f ca="1">IFERROR(__xludf.DUMMYFUNCTION("GOOGLETRANSLATE(A1361, ""en"", ""fr"")"),"DÉCOURAGER")</f>
        <v>DÉCOURAGER</v>
      </c>
      <c r="D1361" s="1" t="s">
        <v>4963</v>
      </c>
    </row>
    <row r="1362" spans="1:51" ht="14.25" customHeight="1" x14ac:dyDescent="0.3">
      <c r="A1362" s="1" t="s">
        <v>1504</v>
      </c>
      <c r="B1362" s="1" t="str">
        <f ca="1">IFERROR(__xludf.DUMMYFUNCTION("GOOGLETRANSLATE(A1362, ""en"", ""fr"")"),"DÉCOURAGÉ")</f>
        <v>DÉCOURAGÉ</v>
      </c>
      <c r="D1362" s="1" t="s">
        <v>4963</v>
      </c>
    </row>
    <row r="1363" spans="1:51" ht="14.25" customHeight="1" x14ac:dyDescent="0.3">
      <c r="A1363" s="1" t="s">
        <v>1505</v>
      </c>
      <c r="B1363" s="1" t="str">
        <f ca="1">IFERROR(__xludf.DUMMYFUNCTION("GOOGLETRANSLATE(A1363, ""en"", ""fr"")"),"Décourager")</f>
        <v>Décourager</v>
      </c>
      <c r="D1363" s="1" t="s">
        <v>4963</v>
      </c>
    </row>
    <row r="1364" spans="1:51" ht="14.25" customHeight="1" x14ac:dyDescent="0.3">
      <c r="A1364" s="1" t="s">
        <v>1506</v>
      </c>
      <c r="B1364" s="1" t="str">
        <f ca="1">IFERROR(__xludf.DUMMYFUNCTION("GOOGLETRANSLATE(A1364, ""en"", ""fr"")"),"DÉCOURAGEANT")</f>
        <v>DÉCOURAGEANT</v>
      </c>
      <c r="D1364" s="1" t="s">
        <v>4963</v>
      </c>
    </row>
    <row r="1365" spans="1:51" ht="14.25" customHeight="1" x14ac:dyDescent="0.3">
      <c r="A1365" s="1" t="s">
        <v>1507</v>
      </c>
      <c r="B1365" s="1" t="str">
        <f ca="1">IFERROR(__xludf.DUMMYFUNCTION("GOOGLETRANSLATE(A1365, ""en"", ""fr"")"),"Découverte")</f>
        <v>Découverte</v>
      </c>
      <c r="AY1365" s="1" t="s">
        <v>48</v>
      </c>
    </row>
    <row r="1366" spans="1:51" ht="14.25" customHeight="1" x14ac:dyDescent="0.3">
      <c r="A1366" s="1" t="s">
        <v>1508</v>
      </c>
      <c r="B1366" s="1" t="str">
        <f ca="1">IFERROR(__xludf.DUMMYFUNCTION("GOOGLETRANSLATE(A1366, ""en"", ""fr"")"),"Bien découverte")</f>
        <v>Bien découverte</v>
      </c>
      <c r="AY1366" s="1" t="s">
        <v>48</v>
      </c>
    </row>
    <row r="1367" spans="1:51" ht="14.25" customHeight="1" x14ac:dyDescent="0.3">
      <c r="A1367" s="1" t="s">
        <v>1509</v>
      </c>
      <c r="B1367" s="1" t="str">
        <f ca="1">IFERROR(__xludf.DUMMYFUNCTION("GOOGLETRANSLATE(A1367, ""en"", ""fr"")"),"DISCRÉDIT")</f>
        <v>DISCRÉDIT</v>
      </c>
      <c r="D1367" s="1" t="s">
        <v>4963</v>
      </c>
    </row>
    <row r="1368" spans="1:51" ht="14.25" customHeight="1" x14ac:dyDescent="0.3">
      <c r="A1368" s="1" t="s">
        <v>1510</v>
      </c>
      <c r="B1368" s="1" t="str">
        <f ca="1">IFERROR(__xludf.DUMMYFUNCTION("GOOGLETRANSLATE(A1368, ""en"", ""fr"")"),"Discrédité")</f>
        <v>Discrédité</v>
      </c>
      <c r="D1368" s="1" t="s">
        <v>4963</v>
      </c>
    </row>
    <row r="1369" spans="1:51" ht="14.25" customHeight="1" x14ac:dyDescent="0.3">
      <c r="A1369" s="1" t="s">
        <v>1511</v>
      </c>
      <c r="B1369" s="1" t="str">
        <f ca="1">IFERROR(__xludf.DUMMYFUNCTION("GOOGLETRANSLATE(A1369, ""en"", ""fr"")"),"Discréditeur")</f>
        <v>Discréditeur</v>
      </c>
      <c r="D1369" s="1" t="s">
        <v>4963</v>
      </c>
    </row>
    <row r="1370" spans="1:51" ht="14.25" customHeight="1" x14ac:dyDescent="0.3">
      <c r="A1370" s="1" t="s">
        <v>1512</v>
      </c>
      <c r="B1370" s="1" t="str">
        <f ca="1">IFERROR(__xludf.DUMMYFUNCTION("GOOGLETRANSLATE(A1370, ""en"", ""fr"")"),"Discrédits")</f>
        <v>Discrédits</v>
      </c>
      <c r="D1370" s="1" t="s">
        <v>4963</v>
      </c>
    </row>
    <row r="1371" spans="1:51" ht="14.25" customHeight="1" x14ac:dyDescent="0.3">
      <c r="A1371" s="1" t="s">
        <v>1513</v>
      </c>
      <c r="B1371" s="1" t="str">
        <f ca="1">IFERROR(__xludf.DUMMYFUNCTION("GOOGLETRANSLATE(A1371, ""en"", ""fr"")"),"Écarts")</f>
        <v>Écarts</v>
      </c>
      <c r="D1371" s="1" t="s">
        <v>4963</v>
      </c>
    </row>
    <row r="1372" spans="1:51" ht="14.25" customHeight="1" x14ac:dyDescent="0.3">
      <c r="A1372" s="1" t="s">
        <v>1514</v>
      </c>
      <c r="B1372" s="1" t="str">
        <f ca="1">IFERROR(__xludf.DUMMYFUNCTION("GOOGLETRANSLATE(A1372, ""en"", ""fr"")"),"DIVERGENCE")</f>
        <v>DIVERGENCE</v>
      </c>
      <c r="D1372" s="1" t="s">
        <v>4963</v>
      </c>
    </row>
    <row r="1373" spans="1:51" ht="14.25" customHeight="1" x14ac:dyDescent="0.3">
      <c r="A1373" s="1" t="s">
        <v>1515</v>
      </c>
      <c r="B1373" s="1" t="str">
        <f ca="1">IFERROR(__xludf.DUMMYFUNCTION("GOOGLETRANSLATE(A1373, ""en"", ""fr"")"),"revenu discrétionnaire")</f>
        <v>revenu discrétionnaire</v>
      </c>
      <c r="M1373" s="1" t="s">
        <v>10</v>
      </c>
    </row>
    <row r="1374" spans="1:51" ht="14.25" customHeight="1" x14ac:dyDescent="0.3">
      <c r="A1374" s="1" t="s">
        <v>1516</v>
      </c>
      <c r="B1374" s="1" t="str">
        <f ca="1">IFERROR(__xludf.DUMMYFUNCTION("GOOGLETRANSLATE(A1374, ""en"", ""fr"")"),"Défavoriser")</f>
        <v>Défavoriser</v>
      </c>
      <c r="D1374" s="1" t="s">
        <v>4963</v>
      </c>
    </row>
    <row r="1375" spans="1:51" ht="14.25" customHeight="1" x14ac:dyDescent="0.3">
      <c r="A1375" s="1" t="s">
        <v>1517</v>
      </c>
      <c r="B1375" s="1" t="str">
        <f ca="1">IFERROR(__xludf.DUMMYFUNCTION("GOOGLETRANSLATE(A1375, ""en"", ""fr"")"),"Défavorisé")</f>
        <v>Défavorisé</v>
      </c>
      <c r="D1375" s="1" t="s">
        <v>4963</v>
      </c>
    </row>
    <row r="1376" spans="1:51" ht="14.25" customHeight="1" x14ac:dyDescent="0.3">
      <c r="A1376" s="1" t="s">
        <v>1518</v>
      </c>
      <c r="B1376" s="1" t="str">
        <f ca="1">IFERROR(__xludf.DUMMYFUNCTION("GOOGLETRANSLATE(A1376, ""en"", ""fr"")"),"Mécontent")</f>
        <v>Mécontent</v>
      </c>
      <c r="D1376" s="1" t="s">
        <v>4963</v>
      </c>
    </row>
    <row r="1377" spans="1:4" ht="14.25" customHeight="1" x14ac:dyDescent="0.3">
      <c r="A1377" s="1" t="s">
        <v>1519</v>
      </c>
      <c r="B1377" s="1" t="str">
        <f ca="1">IFERROR(__xludf.DUMMYFUNCTION("GOOGLETRANSLATE(A1377, ""en"", ""fr"")"),"Défaveur")</f>
        <v>Défaveur</v>
      </c>
      <c r="D1377" s="1" t="s">
        <v>4963</v>
      </c>
    </row>
    <row r="1378" spans="1:4" ht="14.25" customHeight="1" x14ac:dyDescent="0.3">
      <c r="A1378" s="1" t="s">
        <v>1520</v>
      </c>
      <c r="B1378" s="1" t="str">
        <f ca="1">IFERROR(__xludf.DUMMYFUNCTION("GOOGLETRANSLATE(A1378, ""en"", ""fr"")"),"Se déchaîner")</f>
        <v>Se déchaîner</v>
      </c>
      <c r="D1378" s="1" t="s">
        <v>4963</v>
      </c>
    </row>
    <row r="1379" spans="1:4" ht="14.25" customHeight="1" x14ac:dyDescent="0.3">
      <c r="A1379" s="1" t="s">
        <v>1521</v>
      </c>
      <c r="B1379" s="1" t="str">
        <f ca="1">IFERROR(__xludf.DUMMYFUNCTION("GOOGLETRANSLATE(A1379, ""en"", ""fr"")"),"Dégorger")</f>
        <v>Dégorger</v>
      </c>
      <c r="D1379" s="1" t="s">
        <v>4963</v>
      </c>
    </row>
    <row r="1380" spans="1:4" ht="14.25" customHeight="1" x14ac:dyDescent="0.3">
      <c r="A1380" s="1" t="s">
        <v>1522</v>
      </c>
      <c r="B1380" s="1" t="str">
        <f ca="1">IFERROR(__xludf.DUMMYFUNCTION("GOOGLETRANSLATE(A1380, ""en"", ""fr"")"),"Respect")</f>
        <v>Respect</v>
      </c>
      <c r="D1380" s="1" t="s">
        <v>4963</v>
      </c>
    </row>
    <row r="1381" spans="1:4" ht="14.25" customHeight="1" x14ac:dyDescent="0.3">
      <c r="A1381" s="1" t="s">
        <v>1523</v>
      </c>
      <c r="B1381" s="1" t="str">
        <f ca="1">IFERROR(__xludf.DUMMYFUNCTION("GOOGLETRANSLATE(A1381, ""en"", ""fr"")"),"Dégorgements")</f>
        <v>Dégorgements</v>
      </c>
      <c r="D1381" s="1" t="s">
        <v>4963</v>
      </c>
    </row>
    <row r="1382" spans="1:4" ht="14.25" customHeight="1" x14ac:dyDescent="0.3">
      <c r="A1382" s="1" t="s">
        <v>1524</v>
      </c>
      <c r="B1382" s="1" t="str">
        <f ca="1">IFERROR(__xludf.DUMMYFUNCTION("GOOGLETRANSLATE(A1382, ""en"", ""fr"")"),"Se dégager")</f>
        <v>Se dégager</v>
      </c>
      <c r="D1382" s="1" t="s">
        <v>4963</v>
      </c>
    </row>
    <row r="1383" spans="1:4" ht="14.25" customHeight="1" x14ac:dyDescent="0.3">
      <c r="A1383" s="1" t="s">
        <v>1525</v>
      </c>
      <c r="B1383" s="1" t="str">
        <f ca="1">IFERROR(__xludf.DUMMYFUNCTION("GOOGLETRANSLATE(A1383, ""en"", ""fr"")"),"Dégorger")</f>
        <v>Dégorger</v>
      </c>
      <c r="D1383" s="1" t="s">
        <v>4963</v>
      </c>
    </row>
    <row r="1384" spans="1:4" ht="14.25" customHeight="1" x14ac:dyDescent="0.3">
      <c r="A1384" s="1" t="s">
        <v>1526</v>
      </c>
      <c r="B1384" s="1" t="str">
        <f ca="1">IFERROR(__xludf.DUMMYFUNCTION("GOOGLETRANSLATE(A1384, ""en"", ""fr"")"),"DISGRÂCE")</f>
        <v>DISGRÂCE</v>
      </c>
      <c r="D1384" s="1" t="s">
        <v>4963</v>
      </c>
    </row>
    <row r="1385" spans="1:4" ht="14.25" customHeight="1" x14ac:dyDescent="0.3">
      <c r="A1385" s="1" t="s">
        <v>1527</v>
      </c>
      <c r="B1385" s="1" t="str">
        <f ca="1">IFERROR(__xludf.DUMMYFUNCTION("GOOGLETRANSLATE(A1385, ""en"", ""fr"")"),"HONTEUX")</f>
        <v>HONTEUX</v>
      </c>
      <c r="D1385" s="1" t="s">
        <v>4963</v>
      </c>
    </row>
    <row r="1386" spans="1:4" ht="14.25" customHeight="1" x14ac:dyDescent="0.3">
      <c r="A1386" s="1" t="s">
        <v>1528</v>
      </c>
      <c r="B1386" s="1" t="str">
        <f ca="1">IFERROR(__xludf.DUMMYFUNCTION("GOOGLETRANSLATE(A1386, ""en"", ""fr"")"),"Honteusement")</f>
        <v>Honteusement</v>
      </c>
      <c r="D1386" s="1" t="s">
        <v>4963</v>
      </c>
    </row>
    <row r="1387" spans="1:4" ht="14.25" customHeight="1" x14ac:dyDescent="0.3">
      <c r="A1387" s="1" t="s">
        <v>1529</v>
      </c>
      <c r="B1387" s="1" t="str">
        <f ca="1">IFERROR(__xludf.DUMMYFUNCTION("GOOGLETRANSLATE(A1387, ""en"", ""fr"")"),"MALHONNÊTE")</f>
        <v>MALHONNÊTE</v>
      </c>
      <c r="D1387" s="1" t="s">
        <v>4963</v>
      </c>
    </row>
    <row r="1388" spans="1:4" ht="14.25" customHeight="1" x14ac:dyDescent="0.3">
      <c r="A1388" s="1" t="s">
        <v>1530</v>
      </c>
      <c r="B1388" s="1" t="str">
        <f ca="1">IFERROR(__xludf.DUMMYFUNCTION("GOOGLETRANSLATE(A1388, ""en"", ""fr"")"),"Malhonnête")</f>
        <v>Malhonnête</v>
      </c>
      <c r="D1388" s="1" t="s">
        <v>4963</v>
      </c>
    </row>
    <row r="1389" spans="1:4" ht="14.25" customHeight="1" x14ac:dyDescent="0.3">
      <c r="A1389" s="1" t="s">
        <v>1531</v>
      </c>
      <c r="B1389" s="1" t="str">
        <f ca="1">IFERROR(__xludf.DUMMYFUNCTION("GOOGLETRANSLATE(A1389, ""en"", ""fr"")"),"MALHONNÊTETÉ")</f>
        <v>MALHONNÊTETÉ</v>
      </c>
      <c r="D1389" s="1" t="s">
        <v>4963</v>
      </c>
    </row>
    <row r="1390" spans="1:4" ht="14.25" customHeight="1" x14ac:dyDescent="0.3">
      <c r="A1390" s="1" t="s">
        <v>1532</v>
      </c>
      <c r="B1390" s="1" t="str">
        <f ca="1">IFERROR(__xludf.DUMMYFUNCTION("GOOGLETRANSLATE(A1390, ""en"", ""fr"")"),"DÉSHONORER")</f>
        <v>DÉSHONORER</v>
      </c>
      <c r="D1390" s="1" t="s">
        <v>4963</v>
      </c>
    </row>
    <row r="1391" spans="1:4" ht="14.25" customHeight="1" x14ac:dyDescent="0.3">
      <c r="A1391" s="1" t="s">
        <v>1533</v>
      </c>
      <c r="B1391" s="1" t="str">
        <f ca="1">IFERROR(__xludf.DUMMYFUNCTION("GOOGLETRANSLATE(A1391, ""en"", ""fr"")"),"DÉSHONORANT")</f>
        <v>DÉSHONORANT</v>
      </c>
      <c r="D1391" s="1" t="s">
        <v>4963</v>
      </c>
    </row>
    <row r="1392" spans="1:4" ht="14.25" customHeight="1" x14ac:dyDescent="0.3">
      <c r="A1392" s="1" t="s">
        <v>1534</v>
      </c>
      <c r="B1392" s="1" t="str">
        <f ca="1">IFERROR(__xludf.DUMMYFUNCTION("GOOGLETRANSLATE(A1392, ""en"", ""fr"")"),"Déshonorablement")</f>
        <v>Déshonorablement</v>
      </c>
      <c r="D1392" s="1" t="s">
        <v>4963</v>
      </c>
    </row>
    <row r="1393" spans="1:13" ht="14.25" customHeight="1" x14ac:dyDescent="0.3">
      <c r="A1393" s="1" t="s">
        <v>1535</v>
      </c>
      <c r="B1393" s="1" t="str">
        <f ca="1">IFERROR(__xludf.DUMMYFUNCTION("GOOGLETRANSLATE(A1393, ""en"", ""fr"")"),"DÉSHONORÉ")</f>
        <v>DÉSHONORÉ</v>
      </c>
      <c r="D1393" s="1" t="s">
        <v>4963</v>
      </c>
    </row>
    <row r="1394" spans="1:13" ht="14.25" customHeight="1" x14ac:dyDescent="0.3">
      <c r="A1394" s="1" t="s">
        <v>1536</v>
      </c>
      <c r="B1394" s="1" t="str">
        <f ca="1">IFERROR(__xludf.DUMMYFUNCTION("GOOGLETRANSLATE(A1394, ""en"", ""fr"")"),"Déshonore")</f>
        <v>Déshonore</v>
      </c>
      <c r="D1394" s="1" t="s">
        <v>4963</v>
      </c>
    </row>
    <row r="1395" spans="1:13" ht="14.25" customHeight="1" x14ac:dyDescent="0.3">
      <c r="A1395" s="1" t="s">
        <v>1537</v>
      </c>
      <c r="B1395" s="1" t="str">
        <f ca="1">IFERROR(__xludf.DUMMYFUNCTION("GOOGLETRANSLATE(A1395, ""en"", ""fr"")"),"Déshonneur")</f>
        <v>Déshonneur</v>
      </c>
      <c r="D1395" s="1" t="s">
        <v>4963</v>
      </c>
    </row>
    <row r="1396" spans="1:13" ht="14.25" customHeight="1" x14ac:dyDescent="0.3">
      <c r="A1396" s="1" t="s">
        <v>1538</v>
      </c>
      <c r="B1396" s="1" t="str">
        <f ca="1">IFERROR(__xludf.DUMMYFUNCTION("GOOGLETRANSLATE(A1396, ""en"", ""fr"")"),"Dissuasif")</f>
        <v>Dissuasif</v>
      </c>
      <c r="D1396" s="1" t="s">
        <v>4963</v>
      </c>
    </row>
    <row r="1397" spans="1:13" ht="14.25" customHeight="1" x14ac:dyDescent="0.3">
      <c r="A1397" s="1" t="s">
        <v>1539</v>
      </c>
      <c r="B1397" s="1" t="str">
        <f ca="1">IFERROR(__xludf.DUMMYFUNCTION("GOOGLETRANSLATE(A1397, ""en"", ""fr"")"),"désinflation")</f>
        <v>désinflation</v>
      </c>
      <c r="M1397" s="1" t="s">
        <v>10</v>
      </c>
    </row>
    <row r="1398" spans="1:13" ht="14.25" customHeight="1" x14ac:dyDescent="0.3">
      <c r="A1398" s="1" t="s">
        <v>1540</v>
      </c>
      <c r="B1398" s="1" t="str">
        <f ca="1">IFERROR(__xludf.DUMMYFUNCTION("GOOGLETRANSLATE(A1398, ""en"", ""fr"")"),"DÉSINTÉRESSÉ")</f>
        <v>DÉSINTÉRESSÉ</v>
      </c>
      <c r="D1398" s="1" t="s">
        <v>4963</v>
      </c>
    </row>
    <row r="1399" spans="1:13" ht="14.25" customHeight="1" x14ac:dyDescent="0.3">
      <c r="A1399" s="1" t="s">
        <v>1541</v>
      </c>
      <c r="B1399" s="1" t="str">
        <f ca="1">IFERROR(__xludf.DUMMYFUNCTION("GOOGLETRANSLATE(A1399, ""en"", ""fr"")"),"Désintéressé")</f>
        <v>Désintéressé</v>
      </c>
      <c r="D1399" s="1" t="s">
        <v>4963</v>
      </c>
    </row>
    <row r="1400" spans="1:13" ht="14.25" customHeight="1" x14ac:dyDescent="0.3">
      <c r="A1400" s="1" t="s">
        <v>1542</v>
      </c>
      <c r="B1400" s="1" t="str">
        <f ca="1">IFERROR(__xludf.DUMMYFUNCTION("GOOGLETRANSLATE(A1400, ""en"", ""fr"")"),"Désintéressement")</f>
        <v>Désintéressement</v>
      </c>
      <c r="D1400" s="1" t="s">
        <v>4963</v>
      </c>
    </row>
    <row r="1401" spans="1:13" ht="14.25" customHeight="1" x14ac:dyDescent="0.3">
      <c r="A1401" s="1" t="s">
        <v>1543</v>
      </c>
      <c r="B1401" s="1" t="str">
        <f ca="1">IFERROR(__xludf.DUMMYFUNCTION("GOOGLETRANSLATE(A1401, ""en"", ""fr"")"),"DÉLOYAL")</f>
        <v>DÉLOYAL</v>
      </c>
      <c r="D1401" s="1" t="s">
        <v>4963</v>
      </c>
    </row>
    <row r="1402" spans="1:13" ht="14.25" customHeight="1" x14ac:dyDescent="0.3">
      <c r="A1402" s="1" t="s">
        <v>1544</v>
      </c>
      <c r="B1402" s="1" t="str">
        <f ca="1">IFERROR(__xludf.DUMMYFUNCTION("GOOGLETRANSLATE(A1402, ""en"", ""fr"")"),"DÉLOYALEMENT")</f>
        <v>DÉLOYALEMENT</v>
      </c>
      <c r="D1402" s="1" t="s">
        <v>4963</v>
      </c>
    </row>
    <row r="1403" spans="1:13" ht="14.25" customHeight="1" x14ac:dyDescent="0.3">
      <c r="A1403" s="1" t="s">
        <v>1545</v>
      </c>
      <c r="B1403" s="1" t="str">
        <f ca="1">IFERROR(__xludf.DUMMYFUNCTION("GOOGLETRANSLATE(A1403, ""en"", ""fr"")"),"DÉLOYAUTÉ")</f>
        <v>DÉLOYAUTÉ</v>
      </c>
      <c r="D1403" s="1" t="s">
        <v>4963</v>
      </c>
    </row>
    <row r="1404" spans="1:13" ht="14.25" customHeight="1" x14ac:dyDescent="0.3">
      <c r="A1404" s="1" t="s">
        <v>1546</v>
      </c>
      <c r="B1404" s="1" t="str">
        <f ca="1">IFERROR(__xludf.DUMMYFUNCTION("GOOGLETRANSLATE(A1404, ""en"", ""fr"")"),"LUGUBRE")</f>
        <v>LUGUBRE</v>
      </c>
      <c r="D1404" s="1" t="s">
        <v>4963</v>
      </c>
    </row>
    <row r="1405" spans="1:13" ht="14.25" customHeight="1" x14ac:dyDescent="0.3">
      <c r="A1405" s="1" t="s">
        <v>1547</v>
      </c>
      <c r="B1405" s="1" t="str">
        <f ca="1">IFERROR(__xludf.DUMMYFUNCTION("GOOGLETRANSLATE(A1405, ""en"", ""fr"")"),"science lugubre")</f>
        <v>science lugubre</v>
      </c>
      <c r="M1405" s="1" t="s">
        <v>10</v>
      </c>
    </row>
    <row r="1406" spans="1:13" ht="14.25" customHeight="1" x14ac:dyDescent="0.3">
      <c r="A1406" s="1" t="s">
        <v>1548</v>
      </c>
      <c r="B1406" s="1" t="str">
        <f ca="1">IFERROR(__xludf.DUMMYFUNCTION("GOOGLETRANSLATE(A1406, ""en"", ""fr"")"),"LAMENTABLEMENT")</f>
        <v>LAMENTABLEMENT</v>
      </c>
      <c r="D1406" s="1" t="s">
        <v>4963</v>
      </c>
    </row>
    <row r="1407" spans="1:13" ht="14.25" customHeight="1" x14ac:dyDescent="0.3">
      <c r="A1407" s="1" t="s">
        <v>1549</v>
      </c>
      <c r="B1407" s="1" t="str">
        <f ca="1">IFERROR(__xludf.DUMMYFUNCTION("GOOGLETRANSLATE(A1407, ""en"", ""fr"")"),"REJETER")</f>
        <v>REJETER</v>
      </c>
      <c r="D1407" s="1" t="s">
        <v>4963</v>
      </c>
    </row>
    <row r="1408" spans="1:13" ht="14.25" customHeight="1" x14ac:dyDescent="0.3">
      <c r="A1408" s="1" t="s">
        <v>1550</v>
      </c>
      <c r="B1408" s="1" t="str">
        <f ca="1">IFERROR(__xludf.DUMMYFUNCTION("GOOGLETRANSLATE(A1408, ""en"", ""fr"")"),"CONGÉDIEMENT")</f>
        <v>CONGÉDIEMENT</v>
      </c>
      <c r="D1408" s="1" t="s">
        <v>4963</v>
      </c>
    </row>
    <row r="1409" spans="1:4" ht="14.25" customHeight="1" x14ac:dyDescent="0.3">
      <c r="A1409" s="1" t="s">
        <v>1551</v>
      </c>
      <c r="B1409" s="1" t="str">
        <f ca="1">IFERROR(__xludf.DUMMYFUNCTION("GOOGLETRANSLATE(A1409, ""en"", ""fr"")"),"Licenciements")</f>
        <v>Licenciements</v>
      </c>
      <c r="D1409" s="1" t="s">
        <v>4963</v>
      </c>
    </row>
    <row r="1410" spans="1:4" ht="14.25" customHeight="1" x14ac:dyDescent="0.3">
      <c r="A1410" s="1" t="s">
        <v>1552</v>
      </c>
      <c r="B1410" s="1" t="str">
        <f ca="1">IFERROR(__xludf.DUMMYFUNCTION("GOOGLETRANSLATE(A1410, ""en"", ""fr"")"),"Rejeté")</f>
        <v>Rejeté</v>
      </c>
      <c r="D1410" s="1" t="s">
        <v>4963</v>
      </c>
    </row>
    <row r="1411" spans="1:4" ht="14.25" customHeight="1" x14ac:dyDescent="0.3">
      <c r="A1411" s="1" t="s">
        <v>1553</v>
      </c>
      <c r="B1411" s="1" t="str">
        <f ca="1">IFERROR(__xludf.DUMMYFUNCTION("GOOGLETRANSLATE(A1411, ""en"", ""fr"")"),"Rejeter")</f>
        <v>Rejeter</v>
      </c>
      <c r="D1411" s="1" t="s">
        <v>4963</v>
      </c>
    </row>
    <row r="1412" spans="1:4" ht="14.25" customHeight="1" x14ac:dyDescent="0.3">
      <c r="A1412" s="1" t="s">
        <v>1554</v>
      </c>
      <c r="B1412" s="1" t="str">
        <f ca="1">IFERROR(__xludf.DUMMYFUNCTION("GOOGLETRANSLATE(A1412, ""en"", ""fr"")"),"Licenciement")</f>
        <v>Licenciement</v>
      </c>
      <c r="D1412" s="1" t="s">
        <v>4963</v>
      </c>
    </row>
    <row r="1413" spans="1:4" ht="14.25" customHeight="1" x14ac:dyDescent="0.3">
      <c r="A1413" s="1" t="s">
        <v>1555</v>
      </c>
      <c r="B1413" s="1" t="str">
        <f ca="1">IFERROR(__xludf.DUMMYFUNCTION("GOOGLETRANSLATE(A1413, ""en"", ""fr"")"),"DÉSORDONNÉ")</f>
        <v>DÉSORDONNÉ</v>
      </c>
      <c r="D1413" s="1" t="s">
        <v>4963</v>
      </c>
    </row>
    <row r="1414" spans="1:4" ht="14.25" customHeight="1" x14ac:dyDescent="0.3">
      <c r="A1414" s="1" t="s">
        <v>1556</v>
      </c>
      <c r="B1414" s="1" t="str">
        <f ca="1">IFERROR(__xludf.DUMMYFUNCTION("GOOGLETRANSLATE(A1414, ""en"", ""fr"")"),"DÉNIGRER")</f>
        <v>DÉNIGRER</v>
      </c>
      <c r="D1414" s="1" t="s">
        <v>4963</v>
      </c>
    </row>
    <row r="1415" spans="1:4" ht="14.25" customHeight="1" x14ac:dyDescent="0.3">
      <c r="A1415" s="1" t="s">
        <v>1557</v>
      </c>
      <c r="B1415" s="1" t="str">
        <f ca="1">IFERROR(__xludf.DUMMYFUNCTION("GOOGLETRANSLATE(A1415, ""en"", ""fr"")"),"Dénigré")</f>
        <v>Dénigré</v>
      </c>
      <c r="D1415" s="1" t="s">
        <v>4963</v>
      </c>
    </row>
    <row r="1416" spans="1:4" ht="14.25" customHeight="1" x14ac:dyDescent="0.3">
      <c r="A1416" s="1" t="s">
        <v>1558</v>
      </c>
      <c r="B1416" s="1" t="str">
        <f ca="1">IFERROR(__xludf.DUMMYFUNCTION("GOOGLETRANSLATE(A1416, ""en"", ""fr"")"),"DÉNIGREMENT")</f>
        <v>DÉNIGREMENT</v>
      </c>
      <c r="D1416" s="1" t="s">
        <v>4963</v>
      </c>
    </row>
    <row r="1417" spans="1:4" ht="14.25" customHeight="1" x14ac:dyDescent="0.3">
      <c r="A1417" s="1" t="s">
        <v>1559</v>
      </c>
      <c r="B1417" s="1" t="str">
        <f ca="1">IFERROR(__xludf.DUMMYFUNCTION("GOOGLETRANSLATE(A1417, ""en"", ""fr"")"),"Dénigrement")</f>
        <v>Dénigrement</v>
      </c>
      <c r="D1417" s="1" t="s">
        <v>4963</v>
      </c>
    </row>
    <row r="1418" spans="1:4" ht="14.25" customHeight="1" x14ac:dyDescent="0.3">
      <c r="A1418" s="1" t="s">
        <v>1560</v>
      </c>
      <c r="B1418" s="1" t="str">
        <f ca="1">IFERROR(__xludf.DUMMYFUNCTION("GOOGLETRANSLATE(A1418, ""en"", ""fr"")"),"Dénigrer")</f>
        <v>Dénigrer</v>
      </c>
      <c r="D1418" s="1" t="s">
        <v>4963</v>
      </c>
    </row>
    <row r="1419" spans="1:4" ht="14.25" customHeight="1" x14ac:dyDescent="0.3">
      <c r="A1419" s="1" t="s">
        <v>1561</v>
      </c>
      <c r="B1419" s="1" t="str">
        <f ca="1">IFERROR(__xludf.DUMMYFUNCTION("GOOGLETRANSLATE(A1419, ""en"", ""fr"")"),"DÉSOBLIGEANT")</f>
        <v>DÉSOBLIGEANT</v>
      </c>
      <c r="D1419" s="1" t="s">
        <v>4963</v>
      </c>
    </row>
    <row r="1420" spans="1:4" ht="14.25" customHeight="1" x14ac:dyDescent="0.3">
      <c r="A1420" s="1" t="s">
        <v>1562</v>
      </c>
      <c r="B1420" s="1" t="str">
        <f ca="1">IFERROR(__xludf.DUMMYFUNCTION("GOOGLETRANSLATE(A1420, ""en"", ""fr"")"),"Désastreusement")</f>
        <v>Désastreusement</v>
      </c>
      <c r="D1420" s="1" t="s">
        <v>4963</v>
      </c>
    </row>
    <row r="1421" spans="1:4" ht="14.25" customHeight="1" x14ac:dyDescent="0.3">
      <c r="A1421" s="1" t="s">
        <v>1563</v>
      </c>
      <c r="B1421" s="1" t="str">
        <f ca="1">IFERROR(__xludf.DUMMYFUNCTION("GOOGLETRANSLATE(A1421, ""en"", ""fr"")"),"Disparités")</f>
        <v>Disparités</v>
      </c>
      <c r="D1421" s="1" t="s">
        <v>4963</v>
      </c>
    </row>
    <row r="1422" spans="1:4" ht="14.25" customHeight="1" x14ac:dyDescent="0.3">
      <c r="A1422" s="1" t="s">
        <v>1564</v>
      </c>
      <c r="B1422" s="1" t="str">
        <f ca="1">IFERROR(__xludf.DUMMYFUNCTION("GOOGLETRANSLATE(A1422, ""en"", ""fr"")"),"DISPARITÉ")</f>
        <v>DISPARITÉ</v>
      </c>
      <c r="D1422" s="1" t="s">
        <v>4963</v>
      </c>
    </row>
    <row r="1423" spans="1:4" ht="14.25" customHeight="1" x14ac:dyDescent="0.3">
      <c r="A1423" s="1" t="s">
        <v>1565</v>
      </c>
      <c r="B1423" s="1" t="str">
        <f ca="1">IFERROR(__xludf.DUMMYFUNCTION("GOOGLETRANSLATE(A1423, ""en"", ""fr"")"),"DÉPLACER")</f>
        <v>DÉPLACER</v>
      </c>
      <c r="D1423" s="1" t="s">
        <v>4963</v>
      </c>
    </row>
    <row r="1424" spans="1:4" ht="14.25" customHeight="1" x14ac:dyDescent="0.3">
      <c r="A1424" s="1" t="s">
        <v>1566</v>
      </c>
      <c r="B1424" s="1" t="str">
        <f ca="1">IFERROR(__xludf.DUMMYFUNCTION("GOOGLETRANSLATE(A1424, ""en"", ""fr"")"),"DÉPLACÉ")</f>
        <v>DÉPLACÉ</v>
      </c>
      <c r="D1424" s="1" t="s">
        <v>4963</v>
      </c>
    </row>
    <row r="1425" spans="1:4" ht="14.25" customHeight="1" x14ac:dyDescent="0.3">
      <c r="A1425" s="1" t="s">
        <v>1567</v>
      </c>
      <c r="B1425" s="1" t="str">
        <f ca="1">IFERROR(__xludf.DUMMYFUNCTION("GOOGLETRANSLATE(A1425, ""en"", ""fr"")"),"DÉPLACEMENT")</f>
        <v>DÉPLACEMENT</v>
      </c>
      <c r="D1425" s="1" t="s">
        <v>4963</v>
      </c>
    </row>
    <row r="1426" spans="1:4" ht="14.25" customHeight="1" x14ac:dyDescent="0.3">
      <c r="A1426" s="1" t="s">
        <v>1568</v>
      </c>
      <c r="B1426" s="1" t="str">
        <f ca="1">IFERROR(__xludf.DUMMYFUNCTION("GOOGLETRANSLATE(A1426, ""en"", ""fr"")"),"Déplacements")</f>
        <v>Déplacements</v>
      </c>
      <c r="D1426" s="1" t="s">
        <v>4963</v>
      </c>
    </row>
    <row r="1427" spans="1:4" ht="14.25" customHeight="1" x14ac:dyDescent="0.3">
      <c r="A1427" s="1" t="s">
        <v>1569</v>
      </c>
      <c r="B1427" s="1" t="str">
        <f ca="1">IFERROR(__xludf.DUMMYFUNCTION("GOOGLETRANSLATE(A1427, ""en"", ""fr"")"),"Déplacement")</f>
        <v>Déplacement</v>
      </c>
      <c r="D1427" s="1" t="s">
        <v>4963</v>
      </c>
    </row>
    <row r="1428" spans="1:4" ht="14.25" customHeight="1" x14ac:dyDescent="0.3">
      <c r="A1428" s="1" t="s">
        <v>1570</v>
      </c>
      <c r="B1428" s="1" t="str">
        <f ca="1">IFERROR(__xludf.DUMMYFUNCTION("GOOGLETRANSLATE(A1428, ""en"", ""fr"")"),"Déplacement")</f>
        <v>Déplacement</v>
      </c>
      <c r="D1428" s="1" t="s">
        <v>4963</v>
      </c>
    </row>
    <row r="1429" spans="1:4" ht="14.25" customHeight="1" x14ac:dyDescent="0.3">
      <c r="A1429" s="1" t="s">
        <v>1571</v>
      </c>
      <c r="B1429" s="1" t="str">
        <f ca="1">IFERROR(__xludf.DUMMYFUNCTION("GOOGLETRANSLATE(A1429, ""en"", ""fr"")"),"DISPOSER")</f>
        <v>DISPOSER</v>
      </c>
      <c r="D1429" s="1" t="s">
        <v>4963</v>
      </c>
    </row>
    <row r="1430" spans="1:4" ht="14.25" customHeight="1" x14ac:dyDescent="0.3">
      <c r="A1430" s="1" t="s">
        <v>1572</v>
      </c>
      <c r="B1430" s="1" t="str">
        <f ca="1">IFERROR(__xludf.DUMMYFUNCTION("GOOGLETRANSLATE(A1430, ""en"", ""fr"")"),"DÉPOSSÉDER")</f>
        <v>DÉPOSSÉDER</v>
      </c>
      <c r="D1430" s="1" t="s">
        <v>4963</v>
      </c>
    </row>
    <row r="1431" spans="1:4" ht="14.25" customHeight="1" x14ac:dyDescent="0.3">
      <c r="A1431" s="1" t="s">
        <v>1573</v>
      </c>
      <c r="B1431" s="1" t="str">
        <f ca="1">IFERROR(__xludf.DUMMYFUNCTION("GOOGLETRANSLATE(A1431, ""en"", ""fr"")"),"Dépossédé")</f>
        <v>Dépossédé</v>
      </c>
      <c r="D1431" s="1" t="s">
        <v>4963</v>
      </c>
    </row>
    <row r="1432" spans="1:4" ht="14.25" customHeight="1" x14ac:dyDescent="0.3">
      <c r="A1432" s="1" t="s">
        <v>1574</v>
      </c>
      <c r="B1432" s="1" t="str">
        <f ca="1">IFERROR(__xludf.DUMMYFUNCTION("GOOGLETRANSLATE(A1432, ""en"", ""fr"")"),"Déposséder")</f>
        <v>Déposséder</v>
      </c>
      <c r="D1432" s="1" t="s">
        <v>4963</v>
      </c>
    </row>
    <row r="1433" spans="1:4" ht="14.25" customHeight="1" x14ac:dyDescent="0.3">
      <c r="A1433" s="1" t="s">
        <v>1575</v>
      </c>
      <c r="B1433" s="1" t="str">
        <f ca="1">IFERROR(__xludf.DUMMYFUNCTION("GOOGLETRANSLATE(A1433, ""en"", ""fr"")"),"Dépossédant")</f>
        <v>Dépossédant</v>
      </c>
      <c r="D1433" s="1" t="s">
        <v>4963</v>
      </c>
    </row>
    <row r="1434" spans="1:4" ht="14.25" customHeight="1" x14ac:dyDescent="0.3">
      <c r="A1434" s="1" t="s">
        <v>1576</v>
      </c>
      <c r="B1434" s="1" t="str">
        <f ca="1">IFERROR(__xludf.DUMMYFUNCTION("GOOGLETRANSLATE(A1434, ""en"", ""fr"")"),"DISPROPORTION")</f>
        <v>DISPROPORTION</v>
      </c>
      <c r="D1434" s="1" t="s">
        <v>4963</v>
      </c>
    </row>
    <row r="1435" spans="1:4" ht="14.25" customHeight="1" x14ac:dyDescent="0.3">
      <c r="A1435" s="1" t="s">
        <v>1577</v>
      </c>
      <c r="B1435" s="1" t="str">
        <f ca="1">IFERROR(__xludf.DUMMYFUNCTION("GOOGLETRANSLATE(A1435, ""en"", ""fr"")"),"Disproportionné")</f>
        <v>Disproportionné</v>
      </c>
      <c r="D1435" s="1" t="s">
        <v>4963</v>
      </c>
    </row>
    <row r="1436" spans="1:4" ht="14.25" customHeight="1" x14ac:dyDescent="0.3">
      <c r="A1436" s="1" t="s">
        <v>1578</v>
      </c>
      <c r="B1436" s="1" t="str">
        <f ca="1">IFERROR(__xludf.DUMMYFUNCTION("GOOGLETRANSLATE(A1436, ""en"", ""fr"")"),"DISPROPORTIONNÉ")</f>
        <v>DISPROPORTIONNÉ</v>
      </c>
      <c r="D1436" s="1" t="s">
        <v>4963</v>
      </c>
    </row>
    <row r="1437" spans="1:4" ht="14.25" customHeight="1" x14ac:dyDescent="0.3">
      <c r="A1437" s="1" t="s">
        <v>1579</v>
      </c>
      <c r="B1437" s="1" t="str">
        <f ca="1">IFERROR(__xludf.DUMMYFUNCTION("GOOGLETRANSLATE(A1437, ""en"", ""fr"")"),"DISPROPORTIONNÉ")</f>
        <v>DISPROPORTIONNÉ</v>
      </c>
      <c r="D1437" s="1" t="s">
        <v>4963</v>
      </c>
    </row>
    <row r="1438" spans="1:4" ht="14.25" customHeight="1" x14ac:dyDescent="0.3">
      <c r="A1438" s="1" t="s">
        <v>1580</v>
      </c>
      <c r="B1438" s="1" t="str">
        <f ca="1">IFERROR(__xludf.DUMMYFUNCTION("GOOGLETRANSLATE(A1438, ""en"", ""fr"")"),"DIFFÉREND")</f>
        <v>DIFFÉREND</v>
      </c>
      <c r="D1438" s="1" t="s">
        <v>4963</v>
      </c>
    </row>
    <row r="1439" spans="1:4" ht="14.25" customHeight="1" x14ac:dyDescent="0.3">
      <c r="A1439" s="1" t="s">
        <v>1581</v>
      </c>
      <c r="B1439" s="1" t="str">
        <f ca="1">IFERROR(__xludf.DUMMYFUNCTION("GOOGLETRANSLATE(A1439, ""en"", ""fr"")"),"CONTESTÉ")</f>
        <v>CONTESTÉ</v>
      </c>
      <c r="D1439" s="1" t="s">
        <v>4963</v>
      </c>
    </row>
    <row r="1440" spans="1:4" ht="14.25" customHeight="1" x14ac:dyDescent="0.3">
      <c r="A1440" s="1" t="s">
        <v>1582</v>
      </c>
      <c r="B1440" s="1" t="str">
        <f ca="1">IFERROR(__xludf.DUMMYFUNCTION("GOOGLETRANSLATE(A1440, ""en"", ""fr"")"),"DES DISPUTES")</f>
        <v>DES DISPUTES</v>
      </c>
      <c r="D1440" s="1" t="s">
        <v>4963</v>
      </c>
    </row>
    <row r="1441" spans="1:4" ht="14.25" customHeight="1" x14ac:dyDescent="0.3">
      <c r="A1441" s="1" t="s">
        <v>1583</v>
      </c>
      <c r="B1441" s="1" t="str">
        <f ca="1">IFERROR(__xludf.DUMMYFUNCTION("GOOGLETRANSLATE(A1441, ""en"", ""fr"")"),"Contestation")</f>
        <v>Contestation</v>
      </c>
      <c r="D1441" s="1" t="s">
        <v>4963</v>
      </c>
    </row>
    <row r="1442" spans="1:4" ht="14.25" customHeight="1" x14ac:dyDescent="0.3">
      <c r="A1442" s="1" t="s">
        <v>1584</v>
      </c>
      <c r="B1442" s="1" t="str">
        <f ca="1">IFERROR(__xludf.DUMMYFUNCTION("GOOGLETRANSLATE(A1442, ""en"", ""fr"")"),"DISQUALIFICATION")</f>
        <v>DISQUALIFICATION</v>
      </c>
      <c r="D1442" s="1" t="s">
        <v>4963</v>
      </c>
    </row>
    <row r="1443" spans="1:4" ht="14.25" customHeight="1" x14ac:dyDescent="0.3">
      <c r="A1443" s="1" t="s">
        <v>1585</v>
      </c>
      <c r="B1443" s="1" t="str">
        <f ca="1">IFERROR(__xludf.DUMMYFUNCTION("GOOGLETRANSLATE(A1443, ""en"", ""fr"")"),"Disqualifications")</f>
        <v>Disqualifications</v>
      </c>
      <c r="D1443" s="1" t="s">
        <v>4963</v>
      </c>
    </row>
    <row r="1444" spans="1:4" ht="14.25" customHeight="1" x14ac:dyDescent="0.3">
      <c r="A1444" s="1" t="s">
        <v>1586</v>
      </c>
      <c r="B1444" s="1" t="str">
        <f ca="1">IFERROR(__xludf.DUMMYFUNCTION("GOOGLETRANSLATE(A1444, ""en"", ""fr"")"),"DISQUALIFIÉ")</f>
        <v>DISQUALIFIÉ</v>
      </c>
      <c r="D1444" s="1" t="s">
        <v>4963</v>
      </c>
    </row>
    <row r="1445" spans="1:4" ht="14.25" customHeight="1" x14ac:dyDescent="0.3">
      <c r="A1445" s="1" t="s">
        <v>1587</v>
      </c>
      <c r="B1445" s="1" t="str">
        <f ca="1">IFERROR(__xludf.DUMMYFUNCTION("GOOGLETRANSLATE(A1445, ""en"", ""fr"")"),"Disqualifier")</f>
        <v>Disqualifier</v>
      </c>
      <c r="D1445" s="1" t="s">
        <v>4963</v>
      </c>
    </row>
    <row r="1446" spans="1:4" ht="14.25" customHeight="1" x14ac:dyDescent="0.3">
      <c r="A1446" s="1" t="s">
        <v>1588</v>
      </c>
      <c r="B1446" s="1" t="str">
        <f ca="1">IFERROR(__xludf.DUMMYFUNCTION("GOOGLETRANSLATE(A1446, ""en"", ""fr"")"),"DISQUALIFIER")</f>
        <v>DISQUALIFIER</v>
      </c>
      <c r="D1446" s="1" t="s">
        <v>4963</v>
      </c>
    </row>
    <row r="1447" spans="1:4" ht="14.25" customHeight="1" x14ac:dyDescent="0.3">
      <c r="A1447" s="1" t="s">
        <v>1589</v>
      </c>
      <c r="B1447" s="1" t="str">
        <f ca="1">IFERROR(__xludf.DUMMYFUNCTION("GOOGLETRANSLATE(A1447, ""en"", ""fr"")"),"Disqualifiant")</f>
        <v>Disqualifiant</v>
      </c>
      <c r="D1447" s="1" t="s">
        <v>4963</v>
      </c>
    </row>
    <row r="1448" spans="1:4" ht="14.25" customHeight="1" x14ac:dyDescent="0.3">
      <c r="A1448" s="1" t="s">
        <v>1590</v>
      </c>
      <c r="B1448" s="1" t="str">
        <f ca="1">IFERROR(__xludf.DUMMYFUNCTION("GOOGLETRANSLATE(A1448, ""en"", ""fr"")"),"MÉPRIS")</f>
        <v>MÉPRIS</v>
      </c>
      <c r="D1448" s="1" t="s">
        <v>4963</v>
      </c>
    </row>
    <row r="1449" spans="1:4" ht="14.25" customHeight="1" x14ac:dyDescent="0.3">
      <c r="A1449" s="1" t="s">
        <v>1591</v>
      </c>
      <c r="B1449" s="1" t="str">
        <f ca="1">IFERROR(__xludf.DUMMYFUNCTION("GOOGLETRANSLATE(A1449, ""en"", ""fr"")"),"Ignoré")</f>
        <v>Ignoré</v>
      </c>
      <c r="D1449" s="1" t="s">
        <v>4963</v>
      </c>
    </row>
    <row r="1450" spans="1:4" ht="14.25" customHeight="1" x14ac:dyDescent="0.3">
      <c r="A1450" s="1" t="s">
        <v>1592</v>
      </c>
      <c r="B1450" s="1" t="str">
        <f ca="1">IFERROR(__xludf.DUMMYFUNCTION("GOOGLETRANSLATE(A1450, ""en"", ""fr"")"),"Sans tenue")</f>
        <v>Sans tenue</v>
      </c>
      <c r="D1450" s="1" t="s">
        <v>4963</v>
      </c>
    </row>
    <row r="1451" spans="1:4" ht="14.25" customHeight="1" x14ac:dyDescent="0.3">
      <c r="A1451" s="1" t="s">
        <v>1593</v>
      </c>
      <c r="B1451" s="1" t="str">
        <f ca="1">IFERROR(__xludf.DUMMYFUNCTION("GOOGLETRANSLATE(A1451, ""en"", ""fr"")"),"Ignorer")</f>
        <v>Ignorer</v>
      </c>
      <c r="D1451" s="1" t="s">
        <v>4963</v>
      </c>
    </row>
    <row r="1452" spans="1:4" ht="14.25" customHeight="1" x14ac:dyDescent="0.3">
      <c r="A1452" s="1" t="s">
        <v>1594</v>
      </c>
      <c r="B1452" s="1" t="str">
        <f ca="1">IFERROR(__xludf.DUMMYFUNCTION("GOOGLETRANSLATE(A1452, ""en"", ""fr"")"),"DE MAUVAISE RÉPUTATION")</f>
        <v>DE MAUVAISE RÉPUTATION</v>
      </c>
      <c r="D1452" s="1" t="s">
        <v>4963</v>
      </c>
    </row>
    <row r="1453" spans="1:4" ht="14.25" customHeight="1" x14ac:dyDescent="0.3">
      <c r="A1453" s="1" t="s">
        <v>1595</v>
      </c>
      <c r="B1453" s="1" t="str">
        <f ca="1">IFERROR(__xludf.DUMMYFUNCTION("GOOGLETRANSLATE(A1453, ""en"", ""fr"")"),"DÉCONSIDÉRATION")</f>
        <v>DÉCONSIDÉRATION</v>
      </c>
      <c r="D1453" s="1" t="s">
        <v>4963</v>
      </c>
    </row>
    <row r="1454" spans="1:4" ht="14.25" customHeight="1" x14ac:dyDescent="0.3">
      <c r="A1454" s="1" t="s">
        <v>1596</v>
      </c>
      <c r="B1454" s="1" t="str">
        <f ca="1">IFERROR(__xludf.DUMMYFUNCTION("GOOGLETRANSLATE(A1454, ""en"", ""fr"")"),"PERTURBER")</f>
        <v>PERTURBER</v>
      </c>
      <c r="D1454" s="1" t="s">
        <v>4963</v>
      </c>
    </row>
    <row r="1455" spans="1:4" ht="14.25" customHeight="1" x14ac:dyDescent="0.3">
      <c r="A1455" s="1" t="s">
        <v>1597</v>
      </c>
      <c r="B1455" s="1" t="str">
        <f ca="1">IFERROR(__xludf.DUMMYFUNCTION("GOOGLETRANSLATE(A1455, ""en"", ""fr"")"),"Perturbé")</f>
        <v>Perturbé</v>
      </c>
      <c r="D1455" s="1" t="s">
        <v>4963</v>
      </c>
    </row>
    <row r="1456" spans="1:4" ht="14.25" customHeight="1" x14ac:dyDescent="0.3">
      <c r="A1456" s="1" t="s">
        <v>1598</v>
      </c>
      <c r="B1456" s="1" t="str">
        <f ca="1">IFERROR(__xludf.DUMMYFUNCTION("GOOGLETRANSLATE(A1456, ""en"", ""fr"")"),"Perturbateur")</f>
        <v>Perturbateur</v>
      </c>
      <c r="D1456" s="1" t="s">
        <v>4963</v>
      </c>
    </row>
    <row r="1457" spans="1:4" ht="14.25" customHeight="1" x14ac:dyDescent="0.3">
      <c r="A1457" s="1" t="s">
        <v>1599</v>
      </c>
      <c r="B1457" s="1" t="str">
        <f ca="1">IFERROR(__xludf.DUMMYFUNCTION("GOOGLETRANSLATE(A1457, ""en"", ""fr"")"),"PERTURBATION")</f>
        <v>PERTURBATION</v>
      </c>
      <c r="D1457" s="1" t="s">
        <v>4963</v>
      </c>
    </row>
    <row r="1458" spans="1:4" ht="14.25" customHeight="1" x14ac:dyDescent="0.3">
      <c r="A1458" s="1" t="s">
        <v>1600</v>
      </c>
      <c r="B1458" s="1" t="str">
        <f ca="1">IFERROR(__xludf.DUMMYFUNCTION("GOOGLETRANSLATE(A1458, ""en"", ""fr"")"),"Perturbation")</f>
        <v>Perturbation</v>
      </c>
      <c r="D1458" s="1" t="s">
        <v>4963</v>
      </c>
    </row>
    <row r="1459" spans="1:4" ht="14.25" customHeight="1" x14ac:dyDescent="0.3">
      <c r="A1459" s="1" t="s">
        <v>1601</v>
      </c>
      <c r="B1459" s="1" t="str">
        <f ca="1">IFERROR(__xludf.DUMMYFUNCTION("GOOGLETRANSLATE(A1459, ""en"", ""fr"")"),"PERTURBATEUR")</f>
        <v>PERTURBATEUR</v>
      </c>
      <c r="D1459" s="1" t="s">
        <v>4963</v>
      </c>
    </row>
    <row r="1460" spans="1:4" ht="14.25" customHeight="1" x14ac:dyDescent="0.3">
      <c r="A1460" s="1" t="s">
        <v>1602</v>
      </c>
      <c r="B1460" s="1" t="str">
        <f ca="1">IFERROR(__xludf.DUMMYFUNCTION("GOOGLETRANSLATE(A1460, ""en"", ""fr"")"),"Perturber")</f>
        <v>Perturber</v>
      </c>
      <c r="D1460" s="1" t="s">
        <v>4963</v>
      </c>
    </row>
    <row r="1461" spans="1:4" ht="14.25" customHeight="1" x14ac:dyDescent="0.3">
      <c r="A1461" s="1" t="s">
        <v>1603</v>
      </c>
      <c r="B1461" s="1" t="str">
        <f ca="1">IFERROR(__xludf.DUMMYFUNCTION("GOOGLETRANSLATE(A1461, ""en"", ""fr"")"),"INSATISFACTION")</f>
        <v>INSATISFACTION</v>
      </c>
      <c r="D1461" s="1" t="s">
        <v>4963</v>
      </c>
    </row>
    <row r="1462" spans="1:4" ht="14.25" customHeight="1" x14ac:dyDescent="0.3">
      <c r="A1462" s="1" t="s">
        <v>1604</v>
      </c>
      <c r="B1462" s="1" t="str">
        <f ca="1">IFERROR(__xludf.DUMMYFUNCTION("GOOGLETRANSLATE(A1462, ""en"", ""fr"")"),"MÉCONTENT")</f>
        <v>MÉCONTENT</v>
      </c>
      <c r="D1462" s="1" t="s">
        <v>4963</v>
      </c>
    </row>
    <row r="1463" spans="1:4" ht="14.25" customHeight="1" x14ac:dyDescent="0.3">
      <c r="A1463" s="1" t="s">
        <v>1605</v>
      </c>
      <c r="B1463" s="1" t="str">
        <f ca="1">IFERROR(__xludf.DUMMYFUNCTION("GOOGLETRANSLATE(A1463, ""en"", ""fr"")"),"CONTESTATION")</f>
        <v>CONTESTATION</v>
      </c>
      <c r="D1463" s="1" t="s">
        <v>4963</v>
      </c>
    </row>
    <row r="1464" spans="1:4" ht="14.25" customHeight="1" x14ac:dyDescent="0.3">
      <c r="A1464" s="1" t="s">
        <v>1606</v>
      </c>
      <c r="B1464" s="1" t="str">
        <f ca="1">IFERROR(__xludf.DUMMYFUNCTION("GOOGLETRANSLATE(A1464, ""en"", ""fr"")"),"Dissident")</f>
        <v>Dissident</v>
      </c>
      <c r="D1464" s="1" t="s">
        <v>4963</v>
      </c>
    </row>
    <row r="1465" spans="1:4" ht="14.25" customHeight="1" x14ac:dyDescent="0.3">
      <c r="A1465" s="1" t="s">
        <v>1607</v>
      </c>
      <c r="B1465" s="1" t="str">
        <f ca="1">IFERROR(__xludf.DUMMYFUNCTION("GOOGLETRANSLATE(A1465, ""en"", ""fr"")"),"DISSIDENT")</f>
        <v>DISSIDENT</v>
      </c>
      <c r="D1465" s="1" t="s">
        <v>4963</v>
      </c>
    </row>
    <row r="1466" spans="1:4" ht="14.25" customHeight="1" x14ac:dyDescent="0.3">
      <c r="A1466" s="1" t="s">
        <v>1608</v>
      </c>
      <c r="B1466" s="1" t="str">
        <f ca="1">IFERROR(__xludf.DUMMYFUNCTION("GOOGLETRANSLATE(A1466, ""en"", ""fr"")"),"Dissidents")</f>
        <v>Dissidents</v>
      </c>
      <c r="D1466" s="1" t="s">
        <v>4963</v>
      </c>
    </row>
    <row r="1467" spans="1:4" ht="14.25" customHeight="1" x14ac:dyDescent="0.3">
      <c r="A1467" s="1" t="s">
        <v>1609</v>
      </c>
      <c r="B1467" s="1" t="str">
        <f ca="1">IFERROR(__xludf.DUMMYFUNCTION("GOOGLETRANSLATE(A1467, ""en"", ""fr"")"),"Dissident")</f>
        <v>Dissident</v>
      </c>
      <c r="D1467" s="1" t="s">
        <v>4963</v>
      </c>
    </row>
    <row r="1468" spans="1:4" ht="14.25" customHeight="1" x14ac:dyDescent="0.3">
      <c r="A1468" s="1" t="s">
        <v>1610</v>
      </c>
      <c r="B1468" s="1" t="str">
        <f ca="1">IFERROR(__xludf.DUMMYFUNCTION("GOOGLETRANSLATE(A1468, ""en"", ""fr"")"),"Enffiche")</f>
        <v>Enffiche</v>
      </c>
      <c r="D1468" s="1" t="s">
        <v>4963</v>
      </c>
    </row>
    <row r="1469" spans="1:4" ht="14.25" customHeight="1" x14ac:dyDescent="0.3">
      <c r="A1469" s="1" t="s">
        <v>1611</v>
      </c>
      <c r="B1469" s="1" t="str">
        <f ca="1">IFERROR(__xludf.DUMMYFUNCTION("GOOGLETRANSLATE(A1469, ""en"", ""fr"")"),"DISSIDENT")</f>
        <v>DISSIDENT</v>
      </c>
      <c r="D1469" s="1" t="s">
        <v>4963</v>
      </c>
    </row>
    <row r="1470" spans="1:4" ht="14.25" customHeight="1" x14ac:dyDescent="0.3">
      <c r="A1470" s="1" t="s">
        <v>1612</v>
      </c>
      <c r="B1470" s="1" t="str">
        <f ca="1">IFERROR(__xludf.DUMMYFUNCTION("GOOGLETRANSLATE(A1470, ""en"", ""fr"")"),"Dissidents")</f>
        <v>Dissidents</v>
      </c>
      <c r="D1470" s="1" t="s">
        <v>4963</v>
      </c>
    </row>
    <row r="1471" spans="1:4" ht="14.25" customHeight="1" x14ac:dyDescent="0.3">
      <c r="A1471" s="1" t="s">
        <v>1613</v>
      </c>
      <c r="B1471" s="1" t="str">
        <f ca="1">IFERROR(__xludf.DUMMYFUNCTION("GOOGLETRANSLATE(A1471, ""en"", ""fr"")"),"DISSOLUTION")</f>
        <v>DISSOLUTION</v>
      </c>
      <c r="D1471" s="1" t="s">
        <v>4963</v>
      </c>
    </row>
    <row r="1472" spans="1:4" ht="14.25" customHeight="1" x14ac:dyDescent="0.3">
      <c r="A1472" s="1" t="s">
        <v>1614</v>
      </c>
      <c r="B1472" s="1" t="str">
        <f ca="1">IFERROR(__xludf.DUMMYFUNCTION("GOOGLETRANSLATE(A1472, ""en"", ""fr"")"),"Dissolutions")</f>
        <v>Dissolutions</v>
      </c>
      <c r="D1472" s="1" t="s">
        <v>4963</v>
      </c>
    </row>
    <row r="1473" spans="1:142" ht="14.25" customHeight="1" x14ac:dyDescent="0.3">
      <c r="A1473" s="1" t="s">
        <v>1615</v>
      </c>
      <c r="B1473" s="1" t="str">
        <f ca="1">IFERROR(__xludf.DUMMYFUNCTION("GOOGLETRANSLATE(A1473, ""en"", ""fr"")"),"Gaz naturel dissous")</f>
        <v>Gaz naturel dissous</v>
      </c>
      <c r="EL1473" s="1" t="s">
        <v>139</v>
      </c>
    </row>
    <row r="1474" spans="1:142" ht="14.25" customHeight="1" x14ac:dyDescent="0.3">
      <c r="A1474" s="1" t="s">
        <v>1616</v>
      </c>
      <c r="B1474" s="1" t="str">
        <f ca="1">IFERROR(__xludf.DUMMYFUNCTION("GOOGLETRANSLATE(A1474, ""en"", ""fr"")"),"Distiller le mazout")</f>
        <v>Distiller le mazout</v>
      </c>
      <c r="R1474" s="1" t="s">
        <v>15</v>
      </c>
      <c r="CS1474" s="1" t="s">
        <v>94</v>
      </c>
    </row>
    <row r="1475" spans="1:142" ht="14.25" customHeight="1" x14ac:dyDescent="0.3">
      <c r="A1475" s="1" t="s">
        <v>1617</v>
      </c>
      <c r="B1475" s="1" t="str">
        <f ca="1">IFERROR(__xludf.DUMMYFUNCTION("GOOGLETRANSLATE(A1475, ""en"", ""fr"")"),"Distillants")</f>
        <v>Distillants</v>
      </c>
      <c r="EL1475" s="1" t="s">
        <v>139</v>
      </c>
    </row>
    <row r="1476" spans="1:142" ht="14.25" customHeight="1" x14ac:dyDescent="0.3">
      <c r="A1476" s="1" t="s">
        <v>1618</v>
      </c>
      <c r="B1476" s="1" t="str">
        <f ca="1">IFERROR(__xludf.DUMMYFUNCTION("GOOGLETRANSLATE(A1476, ""en"", ""fr"")"),"DISTINCTION")</f>
        <v>DISTINCTION</v>
      </c>
      <c r="H1476" s="1" t="s">
        <v>4964</v>
      </c>
    </row>
    <row r="1477" spans="1:142" ht="14.25" customHeight="1" x14ac:dyDescent="0.3">
      <c r="A1477" s="1" t="s">
        <v>1619</v>
      </c>
      <c r="B1477" s="1" t="str">
        <f ca="1">IFERROR(__xludf.DUMMYFUNCTION("GOOGLETRANSLATE(A1477, ""en"", ""fr"")"),"Distinctions")</f>
        <v>Distinctions</v>
      </c>
      <c r="H1477" s="1" t="s">
        <v>4964</v>
      </c>
    </row>
    <row r="1478" spans="1:142" ht="14.25" customHeight="1" x14ac:dyDescent="0.3">
      <c r="A1478" s="1" t="s">
        <v>1620</v>
      </c>
      <c r="B1478" s="1" t="str">
        <f ca="1">IFERROR(__xludf.DUMMYFUNCTION("GOOGLETRANSLATE(A1478, ""en"", ""fr"")"),"DISTINCTIF")</f>
        <v>DISTINCTIF</v>
      </c>
      <c r="H1478" s="1" t="s">
        <v>4964</v>
      </c>
    </row>
    <row r="1479" spans="1:142" ht="14.25" customHeight="1" x14ac:dyDescent="0.3">
      <c r="A1479" s="1" t="s">
        <v>1621</v>
      </c>
      <c r="B1479" s="1" t="str">
        <f ca="1">IFERROR(__xludf.DUMMYFUNCTION("GOOGLETRANSLATE(A1479, ""en"", ""fr"")"),"Distinctement")</f>
        <v>Distinctement</v>
      </c>
      <c r="H1479" s="1" t="s">
        <v>4964</v>
      </c>
    </row>
    <row r="1480" spans="1:142" ht="14.25" customHeight="1" x14ac:dyDescent="0.3">
      <c r="A1480" s="1" t="s">
        <v>1622</v>
      </c>
      <c r="B1480" s="1" t="str">
        <f ca="1">IFERROR(__xludf.DUMMYFUNCTION("GOOGLETRANSLATE(A1480, ""en"", ""fr"")"),"Caractère distinctif")</f>
        <v>Caractère distinctif</v>
      </c>
      <c r="H1480" s="1" t="s">
        <v>4964</v>
      </c>
    </row>
    <row r="1481" spans="1:142" ht="14.25" customHeight="1" x14ac:dyDescent="0.3">
      <c r="A1481" s="1" t="s">
        <v>1623</v>
      </c>
      <c r="B1481" s="1" t="str">
        <f ca="1">IFERROR(__xludf.DUMMYFUNCTION("GOOGLETRANSLATE(A1481, ""en"", ""fr"")"),"FAUSSER")</f>
        <v>FAUSSER</v>
      </c>
      <c r="D1481" s="1" t="s">
        <v>4963</v>
      </c>
    </row>
    <row r="1482" spans="1:142" ht="14.25" customHeight="1" x14ac:dyDescent="0.3">
      <c r="A1482" s="1" t="s">
        <v>1624</v>
      </c>
      <c r="B1482" s="1" t="str">
        <f ca="1">IFERROR(__xludf.DUMMYFUNCTION("GOOGLETRANSLATE(A1482, ""en"", ""fr"")"),"DÉFORMÉ")</f>
        <v>DÉFORMÉ</v>
      </c>
      <c r="D1482" s="1" t="s">
        <v>4963</v>
      </c>
    </row>
    <row r="1483" spans="1:142" ht="14.25" customHeight="1" x14ac:dyDescent="0.3">
      <c r="A1483" s="1" t="s">
        <v>1625</v>
      </c>
      <c r="B1483" s="1" t="str">
        <f ca="1">IFERROR(__xludf.DUMMYFUNCTION("GOOGLETRANSLATE(A1483, ""en"", ""fr"")"),"Distorsion")</f>
        <v>Distorsion</v>
      </c>
      <c r="D1483" s="1" t="s">
        <v>4963</v>
      </c>
    </row>
    <row r="1484" spans="1:142" ht="14.25" customHeight="1" x14ac:dyDescent="0.3">
      <c r="A1484" s="1" t="s">
        <v>1626</v>
      </c>
      <c r="B1484" s="1" t="str">
        <f ca="1">IFERROR(__xludf.DUMMYFUNCTION("GOOGLETRANSLATE(A1484, ""en"", ""fr"")"),"DISTORSION")</f>
        <v>DISTORSION</v>
      </c>
      <c r="D1484" s="1" t="s">
        <v>4963</v>
      </c>
    </row>
    <row r="1485" spans="1:142" ht="14.25" customHeight="1" x14ac:dyDescent="0.3">
      <c r="A1485" s="1" t="s">
        <v>1627</v>
      </c>
      <c r="B1485" s="1" t="str">
        <f ca="1">IFERROR(__xludf.DUMMYFUNCTION("GOOGLETRANSLATE(A1485, ""en"", ""fr"")"),"Distorsions")</f>
        <v>Distorsions</v>
      </c>
      <c r="D1485" s="1" t="s">
        <v>4963</v>
      </c>
    </row>
    <row r="1486" spans="1:142" ht="14.25" customHeight="1" x14ac:dyDescent="0.3">
      <c r="A1486" s="1" t="s">
        <v>1628</v>
      </c>
      <c r="B1486" s="1" t="str">
        <f ca="1">IFERROR(__xludf.DUMMYFUNCTION("GOOGLETRANSLATE(A1486, ""en"", ""fr"")"),"Fausser")</f>
        <v>Fausser</v>
      </c>
      <c r="D1486" s="1" t="s">
        <v>4963</v>
      </c>
    </row>
    <row r="1487" spans="1:142" ht="14.25" customHeight="1" x14ac:dyDescent="0.3">
      <c r="A1487" s="1" t="s">
        <v>1629</v>
      </c>
      <c r="B1487" s="1" t="str">
        <f ca="1">IFERROR(__xludf.DUMMYFUNCTION("GOOGLETRANSLATE(A1487, ""en"", ""fr"")"),"DISTRAIRE")</f>
        <v>DISTRAIRE</v>
      </c>
      <c r="D1487" s="1" t="s">
        <v>4963</v>
      </c>
    </row>
    <row r="1488" spans="1:142" ht="14.25" customHeight="1" x14ac:dyDescent="0.3">
      <c r="A1488" s="1" t="s">
        <v>1630</v>
      </c>
      <c r="B1488" s="1" t="str">
        <f ca="1">IFERROR(__xludf.DUMMYFUNCTION("GOOGLETRANSLATE(A1488, ""en"", ""fr"")"),"DISTRAITS")</f>
        <v>DISTRAITS</v>
      </c>
      <c r="D1488" s="1" t="s">
        <v>4963</v>
      </c>
    </row>
    <row r="1489" spans="1:4" ht="14.25" customHeight="1" x14ac:dyDescent="0.3">
      <c r="A1489" s="1" t="s">
        <v>1631</v>
      </c>
      <c r="B1489" s="1" t="str">
        <f ca="1">IFERROR(__xludf.DUMMYFUNCTION("GOOGLETRANSLATE(A1489, ""en"", ""fr"")"),"Distrayant")</f>
        <v>Distrayant</v>
      </c>
      <c r="D1489" s="1" t="s">
        <v>4963</v>
      </c>
    </row>
    <row r="1490" spans="1:4" ht="14.25" customHeight="1" x14ac:dyDescent="0.3">
      <c r="A1490" s="1" t="s">
        <v>1632</v>
      </c>
      <c r="B1490" s="1" t="str">
        <f ca="1">IFERROR(__xludf.DUMMYFUNCTION("GOOGLETRANSLATE(A1490, ""en"", ""fr"")"),"DISTRACTION")</f>
        <v>DISTRACTION</v>
      </c>
      <c r="D1490" s="1" t="s">
        <v>4963</v>
      </c>
    </row>
    <row r="1491" spans="1:4" ht="14.25" customHeight="1" x14ac:dyDescent="0.3">
      <c r="A1491" s="1" t="s">
        <v>1633</v>
      </c>
      <c r="B1491" s="1" t="str">
        <f ca="1">IFERROR(__xludf.DUMMYFUNCTION("GOOGLETRANSLATE(A1491, ""en"", ""fr"")"),"DISTRACTIONS")</f>
        <v>DISTRACTIONS</v>
      </c>
      <c r="D1491" s="1" t="s">
        <v>4963</v>
      </c>
    </row>
    <row r="1492" spans="1:4" ht="14.25" customHeight="1" x14ac:dyDescent="0.3">
      <c r="A1492" s="1" t="s">
        <v>1634</v>
      </c>
      <c r="B1492" s="1" t="str">
        <f ca="1">IFERROR(__xludf.DUMMYFUNCTION("GOOGLETRANSLATE(A1492, ""en"", ""fr"")"),"Distraire")</f>
        <v>Distraire</v>
      </c>
      <c r="D1492" s="1" t="s">
        <v>4963</v>
      </c>
    </row>
    <row r="1493" spans="1:4" ht="14.25" customHeight="1" x14ac:dyDescent="0.3">
      <c r="A1493" s="1" t="s">
        <v>1635</v>
      </c>
      <c r="B1493" s="1" t="str">
        <f ca="1">IFERROR(__xludf.DUMMYFUNCTION("GOOGLETRANSLATE(A1493, ""en"", ""fr"")"),"DÉTRESSE")</f>
        <v>DÉTRESSE</v>
      </c>
      <c r="D1493" s="1" t="s">
        <v>4963</v>
      </c>
    </row>
    <row r="1494" spans="1:4" ht="14.25" customHeight="1" x14ac:dyDescent="0.3">
      <c r="A1494" s="1" t="s">
        <v>1636</v>
      </c>
      <c r="B1494" s="1" t="str">
        <f ca="1">IFERROR(__xludf.DUMMYFUNCTION("GOOGLETRANSLATE(A1494, ""en"", ""fr"")"),"AFFLIGÉ")</f>
        <v>AFFLIGÉ</v>
      </c>
      <c r="D1494" s="1" t="s">
        <v>4963</v>
      </c>
    </row>
    <row r="1495" spans="1:4" ht="14.25" customHeight="1" x14ac:dyDescent="0.3">
      <c r="A1495" s="1" t="s">
        <v>1637</v>
      </c>
      <c r="B1495" s="1" t="str">
        <f ca="1">IFERROR(__xludf.DUMMYFUNCTION("GOOGLETRANSLATE(A1495, ""en"", ""fr"")"),"DÉRANGER")</f>
        <v>DÉRANGER</v>
      </c>
      <c r="D1495" s="1" t="s">
        <v>4963</v>
      </c>
    </row>
    <row r="1496" spans="1:4" ht="14.25" customHeight="1" x14ac:dyDescent="0.3">
      <c r="A1496" s="1" t="s">
        <v>1638</v>
      </c>
      <c r="B1496" s="1" t="str">
        <f ca="1">IFERROR(__xludf.DUMMYFUNCTION("GOOGLETRANSLATE(A1496, ""en"", ""fr"")"),"PERTURBATION")</f>
        <v>PERTURBATION</v>
      </c>
      <c r="D1496" s="1" t="s">
        <v>4963</v>
      </c>
    </row>
    <row r="1497" spans="1:4" ht="14.25" customHeight="1" x14ac:dyDescent="0.3">
      <c r="A1497" s="1" t="s">
        <v>1639</v>
      </c>
      <c r="B1497" s="1" t="str">
        <f ca="1">IFERROR(__xludf.DUMMYFUNCTION("GOOGLETRANSLATE(A1497, ""en"", ""fr"")"),"Perturbations")</f>
        <v>Perturbations</v>
      </c>
      <c r="D1497" s="1" t="s">
        <v>4963</v>
      </c>
    </row>
    <row r="1498" spans="1:4" ht="14.25" customHeight="1" x14ac:dyDescent="0.3">
      <c r="A1498" s="1" t="s">
        <v>1640</v>
      </c>
      <c r="B1498" s="1" t="str">
        <f ca="1">IFERROR(__xludf.DUMMYFUNCTION("GOOGLETRANSLATE(A1498, ""en"", ""fr"")"),"PERTURBÉ")</f>
        <v>PERTURBÉ</v>
      </c>
      <c r="D1498" s="1" t="s">
        <v>4963</v>
      </c>
    </row>
    <row r="1499" spans="1:4" ht="14.25" customHeight="1" x14ac:dyDescent="0.3">
      <c r="A1499" s="1" t="s">
        <v>1641</v>
      </c>
      <c r="B1499" s="1" t="str">
        <f ca="1">IFERROR(__xludf.DUMMYFUNCTION("GOOGLETRANSLATE(A1499, ""en"", ""fr"")"),"INQUIÉTANT")</f>
        <v>INQUIÉTANT</v>
      </c>
      <c r="D1499" s="1" t="s">
        <v>4963</v>
      </c>
    </row>
    <row r="1500" spans="1:4" ht="14.25" customHeight="1" x14ac:dyDescent="0.3">
      <c r="A1500" s="1" t="s">
        <v>1642</v>
      </c>
      <c r="B1500" s="1" t="str">
        <f ca="1">IFERROR(__xludf.DUMMYFUNCTION("GOOGLETRANSLATE(A1500, ""en"", ""fr"")"),"Déviner")</f>
        <v>Déviner</v>
      </c>
      <c r="D1500" s="1" t="s">
        <v>4963</v>
      </c>
    </row>
    <row r="1501" spans="1:4" ht="14.25" customHeight="1" x14ac:dyDescent="0.3">
      <c r="A1501" s="1" t="s">
        <v>1643</v>
      </c>
      <c r="B1501" s="1" t="str">
        <f ca="1">IFERROR(__xludf.DUMMYFUNCTION("GOOGLETRANSLATE(A1501, ""en"", ""fr"")"),"DÉRIVATION")</f>
        <v>DÉRIVATION</v>
      </c>
      <c r="D1501" s="1" t="s">
        <v>4963</v>
      </c>
    </row>
    <row r="1502" spans="1:4" ht="14.25" customHeight="1" x14ac:dyDescent="0.3">
      <c r="A1502" s="1" t="s">
        <v>1644</v>
      </c>
      <c r="B1502" s="1" t="str">
        <f ca="1">IFERROR(__xludf.DUMMYFUNCTION("GOOGLETRANSLATE(A1502, ""en"", ""fr"")"),"DÉROUTER")</f>
        <v>DÉROUTER</v>
      </c>
      <c r="D1502" s="1" t="s">
        <v>4963</v>
      </c>
    </row>
    <row r="1503" spans="1:4" ht="14.25" customHeight="1" x14ac:dyDescent="0.3">
      <c r="A1503" s="1" t="s">
        <v>1645</v>
      </c>
      <c r="B1503" s="1" t="str">
        <f ca="1">IFERROR(__xludf.DUMMYFUNCTION("GOOGLETRANSLATE(A1503, ""en"", ""fr"")"),"Détourné")</f>
        <v>Détourné</v>
      </c>
      <c r="D1503" s="1" t="s">
        <v>4963</v>
      </c>
    </row>
    <row r="1504" spans="1:4" ht="14.25" customHeight="1" x14ac:dyDescent="0.3">
      <c r="A1504" s="1" t="s">
        <v>1646</v>
      </c>
      <c r="B1504" s="1" t="str">
        <f ca="1">IFERROR(__xludf.DUMMYFUNCTION("GOOGLETRANSLATE(A1504, ""en"", ""fr"")"),"Détournement")</f>
        <v>Détournement</v>
      </c>
      <c r="D1504" s="1" t="s">
        <v>4963</v>
      </c>
    </row>
    <row r="1505" spans="1:13" ht="14.25" customHeight="1" x14ac:dyDescent="0.3">
      <c r="A1505" s="1" t="s">
        <v>1647</v>
      </c>
      <c r="B1505" s="1" t="str">
        <f ca="1">IFERROR(__xludf.DUMMYFUNCTION("GOOGLETRANSLATE(A1505, ""en"", ""fr"")"),"Détourner")</f>
        <v>Détourner</v>
      </c>
      <c r="D1505" s="1" t="s">
        <v>4963</v>
      </c>
    </row>
    <row r="1506" spans="1:13" ht="14.25" customHeight="1" x14ac:dyDescent="0.3">
      <c r="A1506" s="1" t="s">
        <v>1648</v>
      </c>
      <c r="B1506" s="1" t="str">
        <f ca="1">IFERROR(__xludf.DUMMYFUNCTION("GOOGLETRANSLATE(A1506, ""en"", ""fr"")"),"DÉPOUILLER")</f>
        <v>DÉPOUILLER</v>
      </c>
      <c r="D1506" s="1" t="s">
        <v>4963</v>
      </c>
    </row>
    <row r="1507" spans="1:13" ht="14.25" customHeight="1" x14ac:dyDescent="0.3">
      <c r="A1507" s="1" t="s">
        <v>1649</v>
      </c>
      <c r="B1507" s="1" t="str">
        <f ca="1">IFERROR(__xludf.DUMMYFUNCTION("GOOGLETRANSLATE(A1507, ""en"", ""fr"")"),"Abandonné")</f>
        <v>Abandonné</v>
      </c>
      <c r="D1507" s="1" t="s">
        <v>4963</v>
      </c>
    </row>
    <row r="1508" spans="1:13" ht="14.25" customHeight="1" x14ac:dyDescent="0.3">
      <c r="A1508" s="1" t="s">
        <v>1650</v>
      </c>
      <c r="B1508" s="1" t="str">
        <f ca="1">IFERROR(__xludf.DUMMYFUNCTION("GOOGLETRANSLATE(A1508, ""en"", ""fr"")"),"Désinvestissement")</f>
        <v>Désinvestissement</v>
      </c>
      <c r="D1508" s="1" t="s">
        <v>4963</v>
      </c>
    </row>
    <row r="1509" spans="1:13" ht="14.25" customHeight="1" x14ac:dyDescent="0.3">
      <c r="A1509" s="1" t="s">
        <v>1651</v>
      </c>
      <c r="B1509" s="1" t="str">
        <f ca="1">IFERROR(__xludf.DUMMYFUNCTION("GOOGLETRANSLATE(A1509, ""en"", ""fr"")"),"Désinvestissement")</f>
        <v>Désinvestissement</v>
      </c>
      <c r="D1509" s="1" t="s">
        <v>4963</v>
      </c>
    </row>
    <row r="1510" spans="1:13" ht="14.25" customHeight="1" x14ac:dyDescent="0.3">
      <c r="A1510" s="1" t="s">
        <v>1652</v>
      </c>
      <c r="B1510" s="1" t="str">
        <f ca="1">IFERROR(__xludf.DUMMYFUNCTION("GOOGLETRANSLATE(A1510, ""en"", ""fr"")"),"Désinvestissement")</f>
        <v>Désinvestissement</v>
      </c>
      <c r="D1510" s="1" t="s">
        <v>4963</v>
      </c>
    </row>
    <row r="1511" spans="1:13" ht="14.25" customHeight="1" x14ac:dyDescent="0.3">
      <c r="A1511" s="1" t="s">
        <v>1653</v>
      </c>
      <c r="B1511" s="1" t="str">
        <f ca="1">IFERROR(__xludf.DUMMYFUNCTION("GOOGLETRANSLATE(A1511, ""en"", ""fr"")"),"Désinvestissement")</f>
        <v>Désinvestissement</v>
      </c>
      <c r="D1511" s="1" t="s">
        <v>4963</v>
      </c>
    </row>
    <row r="1512" spans="1:13" ht="14.25" customHeight="1" x14ac:dyDescent="0.3">
      <c r="A1512" s="1" t="s">
        <v>1654</v>
      </c>
      <c r="B1512" s="1" t="str">
        <f ca="1">IFERROR(__xludf.DUMMYFUNCTION("GOOGLETRANSLATE(A1512, ""en"", ""fr"")"),"Désinvestissement")</f>
        <v>Désinvestissement</v>
      </c>
      <c r="D1512" s="1" t="s">
        <v>4963</v>
      </c>
    </row>
    <row r="1513" spans="1:13" ht="14.25" customHeight="1" x14ac:dyDescent="0.3">
      <c r="A1513" s="1" t="s">
        <v>1655</v>
      </c>
      <c r="B1513" s="1" t="str">
        <f ca="1">IFERROR(__xludf.DUMMYFUNCTION("GOOGLETRANSLATE(A1513, ""en"", ""fr"")"),"Désinvestissement")</f>
        <v>Désinvestissement</v>
      </c>
      <c r="D1513" s="1" t="s">
        <v>4963</v>
      </c>
    </row>
    <row r="1514" spans="1:13" ht="14.25" customHeight="1" x14ac:dyDescent="0.3">
      <c r="A1514" s="1" t="s">
        <v>1656</v>
      </c>
      <c r="B1514" s="1" t="str">
        <f ca="1">IFERROR(__xludf.DUMMYFUNCTION("GOOGLETRANSLATE(A1514, ""en"", ""fr"")"),"répartition du travail")</f>
        <v>répartition du travail</v>
      </c>
      <c r="M1514" s="1" t="s">
        <v>10</v>
      </c>
    </row>
    <row r="1515" spans="1:13" ht="14.25" customHeight="1" x14ac:dyDescent="0.3">
      <c r="A1515" s="1" t="s">
        <v>1657</v>
      </c>
      <c r="B1515" s="1" t="str">
        <f ca="1">IFERROR(__xludf.DUMMYFUNCTION("GOOGLETRANSLATE(A1515, ""en"", ""fr"")"),"DIVORCE")</f>
        <v>DIVORCE</v>
      </c>
      <c r="D1515" s="1" t="s">
        <v>4963</v>
      </c>
    </row>
    <row r="1516" spans="1:13" ht="14.25" customHeight="1" x14ac:dyDescent="0.3">
      <c r="A1516" s="1" t="s">
        <v>1658</v>
      </c>
      <c r="B1516" s="1" t="str">
        <f ca="1">IFERROR(__xludf.DUMMYFUNCTION("GOOGLETRANSLATE(A1516, ""en"", ""fr"")"),"DIVORCÉ")</f>
        <v>DIVORCÉ</v>
      </c>
      <c r="D1516" s="1" t="s">
        <v>4963</v>
      </c>
    </row>
    <row r="1517" spans="1:13" ht="14.25" customHeight="1" x14ac:dyDescent="0.3">
      <c r="A1517" s="1" t="s">
        <v>1659</v>
      </c>
      <c r="B1517" s="1" t="str">
        <f ca="1">IFERROR(__xludf.DUMMYFUNCTION("GOOGLETRANSLATE(A1517, ""en"", ""fr"")"),"DIVULGUER")</f>
        <v>DIVULGUER</v>
      </c>
      <c r="D1517" s="1" t="s">
        <v>4963</v>
      </c>
    </row>
    <row r="1518" spans="1:13" ht="14.25" customHeight="1" x14ac:dyDescent="0.3">
      <c r="A1518" s="1" t="s">
        <v>1660</v>
      </c>
      <c r="B1518" s="1" t="str">
        <f ca="1">IFERROR(__xludf.DUMMYFUNCTION("GOOGLETRANSLATE(A1518, ""en"", ""fr"")"),"Divulgué")</f>
        <v>Divulgué</v>
      </c>
      <c r="D1518" s="1" t="s">
        <v>4963</v>
      </c>
    </row>
    <row r="1519" spans="1:13" ht="14.25" customHeight="1" x14ac:dyDescent="0.3">
      <c r="A1519" s="1" t="s">
        <v>1661</v>
      </c>
      <c r="B1519" s="1" t="str">
        <f ca="1">IFERROR(__xludf.DUMMYFUNCTION("GOOGLETRANSLATE(A1519, ""en"", ""fr"")"),"Divulguer")</f>
        <v>Divulguer</v>
      </c>
      <c r="D1519" s="1" t="s">
        <v>4963</v>
      </c>
    </row>
    <row r="1520" spans="1:13" ht="14.25" customHeight="1" x14ac:dyDescent="0.3">
      <c r="A1520" s="1" t="s">
        <v>1662</v>
      </c>
      <c r="B1520" s="1" t="str">
        <f ca="1">IFERROR(__xludf.DUMMYFUNCTION("GOOGLETRANSLATE(A1520, ""en"", ""fr"")"),"Divulgue")</f>
        <v>Divulgue</v>
      </c>
      <c r="D1520" s="1" t="s">
        <v>4963</v>
      </c>
    </row>
    <row r="1521" spans="1:97" ht="14.25" customHeight="1" x14ac:dyDescent="0.3">
      <c r="A1521" s="1" t="s">
        <v>1663</v>
      </c>
      <c r="B1521" s="1" t="str">
        <f ca="1">IFERROR(__xludf.DUMMYFUNCTION("GOOGLETRANSLATE(A1521, ""en"", ""fr"")"),"Djeno")</f>
        <v>Djeno</v>
      </c>
      <c r="R1521" s="1" t="s">
        <v>15</v>
      </c>
      <c r="CS1521" s="1" t="s">
        <v>94</v>
      </c>
    </row>
    <row r="1522" spans="1:97" ht="14.25" customHeight="1" x14ac:dyDescent="0.3">
      <c r="A1522" s="1" t="s">
        <v>1664</v>
      </c>
      <c r="B1522" s="1" t="str">
        <f ca="1">IFERROR(__xludf.DUMMYFUNCTION("GOOGLETRANSLATE(A1522, ""en"", ""fr"")"),"faire")</f>
        <v>faire</v>
      </c>
      <c r="J1522" s="1" t="s">
        <v>7</v>
      </c>
    </row>
    <row r="1523" spans="1:97" ht="14.25" customHeight="1" x14ac:dyDescent="0.3">
      <c r="A1523" s="1" t="s">
        <v>1665</v>
      </c>
      <c r="B1523" s="1" t="str">
        <f ca="1">IFERROR(__xludf.DUMMYFUNCTION("GOOGLETRANSLATE(A1523, ""en"", ""fr"")"),"Nœud")</f>
        <v>Nœud</v>
      </c>
      <c r="R1523" s="1" t="s">
        <v>15</v>
      </c>
      <c r="CS1523" s="1" t="s">
        <v>94</v>
      </c>
    </row>
    <row r="1524" spans="1:97" ht="14.25" customHeight="1" x14ac:dyDescent="0.3">
      <c r="A1524" s="1" t="s">
        <v>1666</v>
      </c>
      <c r="B1524" s="1" t="str">
        <f ca="1">IFERROR(__xludf.DUMMYFUNCTION("GOOGLETRANSLATE(A1524, ""en"", ""fr"")"),"fait")</f>
        <v>fait</v>
      </c>
      <c r="J1524" s="1" t="s">
        <v>7</v>
      </c>
    </row>
    <row r="1525" spans="1:97" ht="14.25" customHeight="1" x14ac:dyDescent="0.3">
      <c r="A1525" s="1" t="s">
        <v>1667</v>
      </c>
      <c r="B1525" s="1" t="str">
        <f ca="1">IFERROR(__xludf.DUMMYFUNCTION("GOOGLETRANSLATE(A1525, ""en"", ""fr"")"),"faire")</f>
        <v>faire</v>
      </c>
      <c r="J1525" s="1" t="s">
        <v>7</v>
      </c>
    </row>
    <row r="1526" spans="1:97" ht="14.25" customHeight="1" x14ac:dyDescent="0.3">
      <c r="A1526" s="1" t="s">
        <v>1668</v>
      </c>
      <c r="B1526" s="1" t="str">
        <f ca="1">IFERROR(__xludf.DUMMYFUNCTION("GOOGLETRANSLATE(A1526, ""en"", ""fr"")"),"drainage en dollars")</f>
        <v>drainage en dollars</v>
      </c>
      <c r="M1526" s="1" t="s">
        <v>10</v>
      </c>
    </row>
    <row r="1527" spans="1:97" ht="14.25" customHeight="1" x14ac:dyDescent="0.3">
      <c r="A1527" s="1" t="s">
        <v>1669</v>
      </c>
      <c r="B1527" s="1" t="str">
        <f ca="1">IFERROR(__xludf.DUMMYFUNCTION("GOOGLETRANSLATE(A1527, ""en"", ""fr"")"),"pénurie en dollars")</f>
        <v>pénurie en dollars</v>
      </c>
      <c r="M1527" s="1" t="s">
        <v>10</v>
      </c>
    </row>
    <row r="1528" spans="1:97" ht="14.25" customHeight="1" x14ac:dyDescent="0.3">
      <c r="A1528" s="1" t="s">
        <v>1670</v>
      </c>
      <c r="B1528" s="1" t="str">
        <f ca="1">IFERROR(__xludf.DUMMYFUNCTION("GOOGLETRANSLATE(A1528, ""en"", ""fr"")"),"tarif intérieur")</f>
        <v>tarif intérieur</v>
      </c>
      <c r="M1528" s="1" t="s">
        <v>10</v>
      </c>
    </row>
    <row r="1529" spans="1:97" ht="14.25" customHeight="1" x14ac:dyDescent="0.3">
      <c r="A1529" s="1" t="s">
        <v>1671</v>
      </c>
      <c r="B1529" s="1" t="str">
        <f ca="1">IFERROR(__xludf.DUMMYFUNCTION("GOOGLETRANSLATE(A1529, ""en"", ""fr"")"),"Index social Domini 400")</f>
        <v>Index social Domini 400</v>
      </c>
      <c r="M1529" s="1" t="s">
        <v>10</v>
      </c>
    </row>
    <row r="1530" spans="1:97" ht="14.25" customHeight="1" x14ac:dyDescent="0.3">
      <c r="A1530" s="1" t="s">
        <v>1672</v>
      </c>
      <c r="B1530" s="1" t="str">
        <f ca="1">IFERROR(__xludf.DUMMYFUNCTION("GOOGLETRANSLATE(A1530, ""en"", ""fr"")"),"ne le faites pas")</f>
        <v>ne le faites pas</v>
      </c>
      <c r="J1530" s="1" t="s">
        <v>7</v>
      </c>
    </row>
    <row r="1531" spans="1:97" ht="14.25" customHeight="1" x14ac:dyDescent="0.3">
      <c r="A1531" s="1" t="s">
        <v>1673</v>
      </c>
      <c r="B1531" s="1" t="str">
        <f ca="1">IFERROR(__xludf.DUMMYFUNCTION("GOOGLETRANSLATE(A1531, ""en"", ""fr"")"),"Doroud")</f>
        <v>Doroud</v>
      </c>
      <c r="R1531" s="1" t="s">
        <v>15</v>
      </c>
      <c r="CS1531" s="1" t="s">
        <v>94</v>
      </c>
    </row>
    <row r="1532" spans="1:97" ht="14.25" customHeight="1" x14ac:dyDescent="0.3">
      <c r="A1532" s="1" t="s">
        <v>1674</v>
      </c>
      <c r="B1532" s="1" t="str">
        <f ca="1">IFERROR(__xludf.DUMMYFUNCTION("GOOGLETRANSLATE(A1532, ""en"", ""fr"")"),"Double équilibre en baisse")</f>
        <v>Double équilibre en baisse</v>
      </c>
      <c r="CR1532" s="1" t="s">
        <v>93</v>
      </c>
    </row>
    <row r="1533" spans="1:97" ht="14.25" customHeight="1" x14ac:dyDescent="0.3">
      <c r="A1533" s="1" t="s">
        <v>1675</v>
      </c>
      <c r="B1533" s="1" t="str">
        <f ca="1">IFERROR(__xludf.DUMMYFUNCTION("GOOGLETRANSLATE(A1533, ""en"", ""fr"")"),"DOUTE")</f>
        <v>DOUTE</v>
      </c>
      <c r="D1533" s="1" t="s">
        <v>4963</v>
      </c>
    </row>
    <row r="1534" spans="1:97" ht="14.25" customHeight="1" x14ac:dyDescent="0.3">
      <c r="A1534" s="1" t="s">
        <v>1676</v>
      </c>
      <c r="B1534" s="1" t="str">
        <f ca="1">IFERROR(__xludf.DUMMYFUNCTION("GOOGLETRANSLATE(A1534, ""en"", ""fr"")"),"Doué")</f>
        <v>Doué</v>
      </c>
      <c r="D1534" s="1" t="s">
        <v>4963</v>
      </c>
    </row>
    <row r="1535" spans="1:97" ht="14.25" customHeight="1" x14ac:dyDescent="0.3">
      <c r="A1535" s="1" t="s">
        <v>1677</v>
      </c>
      <c r="B1535" s="1" t="str">
        <f ca="1">IFERROR(__xludf.DUMMYFUNCTION("GOOGLETRANSLATE(A1535, ""en"", ""fr"")"),"DOUTEUX")</f>
        <v>DOUTEUX</v>
      </c>
      <c r="D1535" s="1" t="s">
        <v>4963</v>
      </c>
    </row>
    <row r="1536" spans="1:97" ht="14.25" customHeight="1" x14ac:dyDescent="0.3">
      <c r="A1536" s="1" t="s">
        <v>1678</v>
      </c>
      <c r="B1536" s="1" t="str">
        <f ca="1">IFERROR(__xludf.DUMMYFUNCTION("GOOGLETRANSLATE(A1536, ""en"", ""fr"")"),"LES DOUTES")</f>
        <v>LES DOUTES</v>
      </c>
      <c r="D1536" s="1" t="s">
        <v>4963</v>
      </c>
    </row>
    <row r="1537" spans="1:51" ht="14.25" customHeight="1" x14ac:dyDescent="0.3">
      <c r="A1537" s="1" t="s">
        <v>1679</v>
      </c>
      <c r="B1537" s="1" t="str">
        <f ca="1">IFERROR(__xludf.DUMMYFUNCTION("GOOGLETRANSLATE(A1537, ""en"", ""fr"")"),"Trou de la baisse")</f>
        <v>Trou de la baisse</v>
      </c>
      <c r="AY1537" s="1" t="s">
        <v>48</v>
      </c>
    </row>
    <row r="1538" spans="1:51" ht="14.25" customHeight="1" x14ac:dyDescent="0.3">
      <c r="A1538" s="1" t="s">
        <v>1680</v>
      </c>
      <c r="B1538" s="1" t="str">
        <f ca="1">IFERROR(__xludf.DUMMYFUNCTION("GOOGLETRANSLATE(A1538, ""en"", ""fr"")"),"RÉTROGRADER")</f>
        <v>RÉTROGRADER</v>
      </c>
      <c r="D1538" s="1" t="s">
        <v>4963</v>
      </c>
    </row>
    <row r="1539" spans="1:51" ht="14.25" customHeight="1" x14ac:dyDescent="0.3">
      <c r="A1539" s="1" t="s">
        <v>1681</v>
      </c>
      <c r="B1539" s="1" t="str">
        <f ca="1">IFERROR(__xludf.DUMMYFUNCTION("GOOGLETRANSLATE(A1539, ""en"", ""fr"")"),"Rétrogradé")</f>
        <v>Rétrogradé</v>
      </c>
      <c r="D1539" s="1" t="s">
        <v>4963</v>
      </c>
    </row>
    <row r="1540" spans="1:51" ht="14.25" customHeight="1" x14ac:dyDescent="0.3">
      <c r="A1540" s="1" t="s">
        <v>1682</v>
      </c>
      <c r="B1540" s="1" t="str">
        <f ca="1">IFERROR(__xludf.DUMMYFUNCTION("GOOGLETRANSLATE(A1540, ""en"", ""fr"")"),"Rétrogradation")</f>
        <v>Rétrogradation</v>
      </c>
      <c r="D1540" s="1" t="s">
        <v>4963</v>
      </c>
    </row>
    <row r="1541" spans="1:51" ht="14.25" customHeight="1" x14ac:dyDescent="0.3">
      <c r="A1541" s="1" t="s">
        <v>1683</v>
      </c>
      <c r="B1541" s="1" t="str">
        <f ca="1">IFERROR(__xludf.DUMMYFUNCTION("GOOGLETRANSLATE(A1541, ""en"", ""fr"")"),"Rétrogradation")</f>
        <v>Rétrogradation</v>
      </c>
      <c r="D1541" s="1" t="s">
        <v>4963</v>
      </c>
    </row>
    <row r="1542" spans="1:51" ht="14.25" customHeight="1" x14ac:dyDescent="0.3">
      <c r="A1542" s="1" t="s">
        <v>1684</v>
      </c>
      <c r="B1542" s="1" t="str">
        <f ca="1">IFERROR(__xludf.DUMMYFUNCTION("GOOGLETRANSLATE(A1542, ""en"", ""fr"")"),"Réduction des effectifs")</f>
        <v>Réduction des effectifs</v>
      </c>
      <c r="D1542" s="1" t="s">
        <v>4963</v>
      </c>
    </row>
    <row r="1543" spans="1:51" ht="14.25" customHeight="1" x14ac:dyDescent="0.3">
      <c r="A1543" s="1" t="s">
        <v>1685</v>
      </c>
      <c r="B1543" s="1" t="str">
        <f ca="1">IFERROR(__xludf.DUMMYFUNCTION("GOOGLETRANSLATE(A1543, ""en"", ""fr"")"),"Réduit")</f>
        <v>Réduit</v>
      </c>
      <c r="D1543" s="1" t="s">
        <v>4963</v>
      </c>
    </row>
    <row r="1544" spans="1:51" ht="14.25" customHeight="1" x14ac:dyDescent="0.3">
      <c r="A1544" s="1" t="s">
        <v>1686</v>
      </c>
      <c r="B1544" s="1" t="str">
        <f ca="1">IFERROR(__xludf.DUMMYFUNCTION("GOOGLETRANSLATE(A1544, ""en"", ""fr"")"),"Réduction des effectifs")</f>
        <v>Réduction des effectifs</v>
      </c>
      <c r="D1544" s="1" t="s">
        <v>4963</v>
      </c>
    </row>
    <row r="1545" spans="1:51" ht="14.25" customHeight="1" x14ac:dyDescent="0.3">
      <c r="A1545" s="1" t="s">
        <v>1687</v>
      </c>
      <c r="B1545" s="1" t="str">
        <f ca="1">IFERROR(__xludf.DUMMYFUNCTION("GOOGLETRANSLATE(A1545, ""en"", ""fr"")"),"Réduction des effectifs")</f>
        <v>Réduction des effectifs</v>
      </c>
      <c r="D1545" s="1" t="s">
        <v>4963</v>
      </c>
    </row>
    <row r="1546" spans="1:51" ht="14.25" customHeight="1" x14ac:dyDescent="0.3">
      <c r="A1546" s="1" t="s">
        <v>1688</v>
      </c>
      <c r="B1546" s="1" t="str">
        <f ca="1">IFERROR(__xludf.DUMMYFUNCTION("GOOGLETRANSLATE(A1546, ""en"", ""fr"")"),"Réduction des effectifs")</f>
        <v>Réduction des effectifs</v>
      </c>
      <c r="D1546" s="1" t="s">
        <v>4963</v>
      </c>
    </row>
    <row r="1547" spans="1:51" ht="14.25" customHeight="1" x14ac:dyDescent="0.3">
      <c r="A1547" s="1" t="s">
        <v>1689</v>
      </c>
      <c r="B1547" s="1" t="str">
        <f ca="1">IFERROR(__xludf.DUMMYFUNCTION("GOOGLETRANSLATE(A1547, ""en"", ""fr"")"),"En aval")</f>
        <v>En aval</v>
      </c>
      <c r="E1547" s="1" t="s">
        <v>3</v>
      </c>
    </row>
    <row r="1548" spans="1:51" ht="14.25" customHeight="1" x14ac:dyDescent="0.3">
      <c r="A1548" s="1" t="s">
        <v>1690</v>
      </c>
      <c r="B1548" s="1" t="str">
        <f ca="1">IFERROR(__xludf.DUMMYFUNCTION("GOOGLETRANSLATE(A1548, ""en"", ""fr"")"),"Temps d'arrêt")</f>
        <v>Temps d'arrêt</v>
      </c>
      <c r="D1548" s="1" t="s">
        <v>4963</v>
      </c>
    </row>
    <row r="1549" spans="1:51" ht="14.25" customHeight="1" x14ac:dyDescent="0.3">
      <c r="A1549" s="1" t="s">
        <v>1691</v>
      </c>
      <c r="B1549" s="1" t="str">
        <f ca="1">IFERROR(__xludf.DUMMYFUNCTION("GOOGLETRANSLATE(A1549, ""en"", ""fr"")"),"Temps de baisse")</f>
        <v>Temps de baisse</v>
      </c>
      <c r="D1549" s="1" t="s">
        <v>4963</v>
      </c>
    </row>
    <row r="1550" spans="1:51" ht="14.25" customHeight="1" x14ac:dyDescent="0.3">
      <c r="A1550" s="1" t="s">
        <v>1692</v>
      </c>
      <c r="B1550" s="1" t="str">
        <f ca="1">IFERROR(__xludf.DUMMYFUNCTION("GOOGLETRANSLATE(A1550, ""en"", ""fr"")"),"ralentissement")</f>
        <v>ralentissement</v>
      </c>
      <c r="D1550" s="1" t="s">
        <v>4963</v>
      </c>
      <c r="M1550" s="1" t="s">
        <v>10</v>
      </c>
    </row>
    <row r="1551" spans="1:51" ht="14.25" customHeight="1" x14ac:dyDescent="0.3">
      <c r="A1551" s="1" t="s">
        <v>1693</v>
      </c>
      <c r="B1551" s="1" t="str">
        <f ca="1">IFERROR(__xludf.DUMMYFUNCTION("GOOGLETRANSLATE(A1551, ""en"", ""fr"")"),"Ralentissement")</f>
        <v>Ralentissement</v>
      </c>
      <c r="D1551" s="1" t="s">
        <v>4963</v>
      </c>
    </row>
    <row r="1552" spans="1:51" ht="14.25" customHeight="1" x14ac:dyDescent="0.3">
      <c r="A1552" s="1" t="s">
        <v>1694</v>
      </c>
      <c r="B1552" s="1" t="str">
        <f ca="1">IFERROR(__xludf.DUMMYFUNCTION("GOOGLETRANSLATE(A1552, ""en"", ""fr"")"),"VERS LE BAS")</f>
        <v>VERS LE BAS</v>
      </c>
      <c r="D1552" s="1" t="s">
        <v>4963</v>
      </c>
    </row>
    <row r="1553" spans="1:97" ht="14.25" customHeight="1" x14ac:dyDescent="0.3">
      <c r="A1553" s="1" t="s">
        <v>1695</v>
      </c>
      <c r="B1553" s="1" t="str">
        <f ca="1">IFERROR(__xludf.DUMMYFUNCTION("GOOGLETRANSLATE(A1553, ""en"", ""fr"")"),"VERS LE BAS")</f>
        <v>VERS LE BAS</v>
      </c>
      <c r="D1553" s="1" t="s">
        <v>4963</v>
      </c>
    </row>
    <row r="1554" spans="1:97" ht="14.25" customHeight="1" x14ac:dyDescent="0.3">
      <c r="A1554" s="1" t="s">
        <v>1696</v>
      </c>
      <c r="B1554" s="1" t="str">
        <f ca="1">IFERROR(__xludf.DUMMYFUNCTION("GOOGLETRANSLATE(A1554, ""en"", ""fr"")"),"dot")</f>
        <v>dot</v>
      </c>
      <c r="M1554" s="1" t="s">
        <v>10</v>
      </c>
    </row>
    <row r="1555" spans="1:97" ht="14.25" customHeight="1" x14ac:dyDescent="0.3">
      <c r="A1555" s="1" t="s">
        <v>1697</v>
      </c>
      <c r="B1555" s="1" t="str">
        <f ca="1">IFERROR(__xludf.DUMMYFUNCTION("GOOGLETRANSLATE(A1555, ""en"", ""fr"")"),"DPO")</f>
        <v>DPO</v>
      </c>
      <c r="CR1555" s="1" t="s">
        <v>93</v>
      </c>
    </row>
    <row r="1556" spans="1:97" ht="14.25" customHeight="1" x14ac:dyDescent="0.3">
      <c r="A1556" s="1" t="s">
        <v>1698</v>
      </c>
      <c r="B1556" s="1" t="str">
        <f ca="1">IFERROR(__xludf.DUMMYFUNCTION("GOOGLETRANSLATE(A1556, ""en"", ""fr"")"),"TRAÎNER")</f>
        <v>TRAÎNER</v>
      </c>
      <c r="D1556" s="1" t="s">
        <v>4963</v>
      </c>
    </row>
    <row r="1557" spans="1:97" ht="14.25" customHeight="1" x14ac:dyDescent="0.3">
      <c r="A1557" s="1" t="s">
        <v>1699</v>
      </c>
      <c r="B1557" s="1" t="str">
        <f ca="1">IFERROR(__xludf.DUMMYFUNCTION("GOOGLETRANSLATE(A1557, ""en"", ""fr"")"),"Réserves drainantes")</f>
        <v>Réserves drainantes</v>
      </c>
      <c r="M1557" s="1" t="s">
        <v>10</v>
      </c>
    </row>
    <row r="1558" spans="1:97" ht="14.25" customHeight="1" x14ac:dyDescent="0.3">
      <c r="A1558" s="1" t="s">
        <v>1700</v>
      </c>
      <c r="B1558" s="1" t="str">
        <f ca="1">IFERROR(__xludf.DUMMYFUNCTION("GOOGLETRANSLATE(A1558, ""en"", ""fr"")"),"RADICAL")</f>
        <v>RADICAL</v>
      </c>
      <c r="D1558" s="1" t="s">
        <v>4963</v>
      </c>
    </row>
    <row r="1559" spans="1:97" ht="14.25" customHeight="1" x14ac:dyDescent="0.3">
      <c r="A1559" s="1" t="s">
        <v>1701</v>
      </c>
      <c r="B1559" s="1" t="str">
        <f ca="1">IFERROR(__xludf.DUMMYFUNCTION("GOOGLETRANSLATE(A1559, ""en"", ""fr"")"),"Radicalement")</f>
        <v>Radicalement</v>
      </c>
      <c r="D1559" s="1" t="s">
        <v>4963</v>
      </c>
    </row>
    <row r="1560" spans="1:97" ht="14.25" customHeight="1" x14ac:dyDescent="0.3">
      <c r="A1560" s="1" t="s">
        <v>1702</v>
      </c>
      <c r="B1560" s="1" t="str">
        <f ca="1">IFERROR(__xludf.DUMMYFUNCTION("GOOGLETRANSLATE(A1560, ""en"", ""fr"")"),"Draugeur")</f>
        <v>Draugeur</v>
      </c>
      <c r="R1560" s="1" t="s">
        <v>15</v>
      </c>
      <c r="CS1560" s="1" t="s">
        <v>94</v>
      </c>
    </row>
    <row r="1561" spans="1:97" ht="14.25" customHeight="1" x14ac:dyDescent="0.3">
      <c r="A1561" s="1" t="s">
        <v>1703</v>
      </c>
      <c r="B1561" s="1" t="str">
        <f ca="1">IFERROR(__xludf.DUMMYFUNCTION("GOOGLETRANSLATE(A1561, ""en"", ""fr"")"),"INCONVÉNIENT")</f>
        <v>INCONVÉNIENT</v>
      </c>
      <c r="D1561" s="1" t="s">
        <v>4963</v>
      </c>
    </row>
    <row r="1562" spans="1:97" ht="14.25" customHeight="1" x14ac:dyDescent="0.3">
      <c r="A1562" s="1" t="s">
        <v>1704</v>
      </c>
      <c r="B1562" s="1" t="str">
        <f ca="1">IFERROR(__xludf.DUMMYFUNCTION("GOOGLETRANSLATE(A1562, ""en"", ""fr"")"),"DÉSAVANTAGES")</f>
        <v>DÉSAVANTAGES</v>
      </c>
      <c r="D1562" s="1" t="s">
        <v>4963</v>
      </c>
    </row>
    <row r="1563" spans="1:97" ht="14.25" customHeight="1" x14ac:dyDescent="0.3">
      <c r="A1563" s="1" t="s">
        <v>1705</v>
      </c>
      <c r="B1563" s="1" t="str">
        <f ca="1">IFERROR(__xludf.DUMMYFUNCTION("GOOGLETRANSLATE(A1563, ""en"", ""fr"")"),"RÊVE")</f>
        <v>RÊVE</v>
      </c>
      <c r="H1563" s="1" t="s">
        <v>4964</v>
      </c>
    </row>
    <row r="1564" spans="1:97" ht="14.25" customHeight="1" x14ac:dyDescent="0.3">
      <c r="A1564" s="1" t="s">
        <v>1706</v>
      </c>
      <c r="B1564" s="1" t="str">
        <f ca="1">IFERROR(__xludf.DUMMYFUNCTION("GOOGLETRANSLATE(A1564, ""en"", ""fr"")"),"Percevoir")</f>
        <v>Percevoir</v>
      </c>
      <c r="AY1564" s="1" t="s">
        <v>48</v>
      </c>
    </row>
    <row r="1565" spans="1:97" ht="14.25" customHeight="1" x14ac:dyDescent="0.3">
      <c r="A1565" s="1" t="s">
        <v>1707</v>
      </c>
      <c r="B1565" s="1" t="str">
        <f ca="1">IFERROR(__xludf.DUMMYFUNCTION("GOOGLETRANSLATE(A1565, ""en"", ""fr"")"),"Colliers de percer")</f>
        <v>Colliers de percer</v>
      </c>
      <c r="AY1565" s="1" t="s">
        <v>48</v>
      </c>
    </row>
    <row r="1566" spans="1:97" ht="14.25" customHeight="1" x14ac:dyDescent="0.3">
      <c r="A1566" s="1" t="s">
        <v>1708</v>
      </c>
      <c r="B1566" s="1" t="str">
        <f ca="1">IFERROR(__xludf.DUMMYFUNCTION("GOOGLETRANSLATE(A1566, ""en"", ""fr"")"),"Coupures de foret")</f>
        <v>Coupures de foret</v>
      </c>
      <c r="AY1566" s="1" t="s">
        <v>48</v>
      </c>
    </row>
    <row r="1567" spans="1:97" ht="14.25" customHeight="1" x14ac:dyDescent="0.3">
      <c r="A1567" s="1" t="s">
        <v>1709</v>
      </c>
      <c r="B1567" s="1" t="str">
        <f ca="1">IFERROR(__xludf.DUMMYFUNCTION("GOOGLETRANSLATE(A1567, ""en"", ""fr"")"),"Former")</f>
        <v>Former</v>
      </c>
      <c r="E1567" s="1" t="s">
        <v>3</v>
      </c>
    </row>
    <row r="1568" spans="1:97" ht="14.25" customHeight="1" x14ac:dyDescent="0.3">
      <c r="A1568" s="1" t="s">
        <v>1710</v>
      </c>
      <c r="B1568" s="1" t="str">
        <f ca="1">IFERROR(__xludf.DUMMYFUNCTION("GOOGLETRANSLATE(A1568, ""en"", ""fr"")"),"Foreur")</f>
        <v>Foreur</v>
      </c>
      <c r="E1568" s="1" t="s">
        <v>3</v>
      </c>
    </row>
    <row r="1569" spans="1:142" ht="14.25" customHeight="1" x14ac:dyDescent="0.3">
      <c r="A1569" s="1" t="s">
        <v>1711</v>
      </c>
      <c r="B1569" s="1" t="str">
        <f ca="1">IFERROR(__xludf.DUMMYFUNCTION("GOOGLETRANSLATE(A1569, ""en"", ""fr"")"),"forage")</f>
        <v>forage</v>
      </c>
      <c r="AY1569" s="1" t="s">
        <v>48</v>
      </c>
    </row>
    <row r="1570" spans="1:142" ht="14.25" customHeight="1" x14ac:dyDescent="0.3">
      <c r="A1570" s="1" t="s">
        <v>1712</v>
      </c>
      <c r="B1570" s="1" t="str">
        <f ca="1">IFERROR(__xludf.DUMMYFUNCTION("GOOGLETRANSLATE(A1570, ""en"", ""fr"")"),"Forage des boues")</f>
        <v>Forage des boues</v>
      </c>
      <c r="AY1570" s="1" t="s">
        <v>48</v>
      </c>
    </row>
    <row r="1571" spans="1:142" ht="14.25" customHeight="1" x14ac:dyDescent="0.3">
      <c r="A1571" s="1" t="s">
        <v>1713</v>
      </c>
      <c r="B1571" s="1" t="str">
        <f ca="1">IFERROR(__xludf.DUMMYFUNCTION("GOOGLETRANSLATE(A1571, ""en"", ""fr"")"),"plate-forme de forage")</f>
        <v>plate-forme de forage</v>
      </c>
      <c r="CS1571" s="1" t="s">
        <v>94</v>
      </c>
    </row>
    <row r="1572" spans="1:142" ht="14.25" customHeight="1" x14ac:dyDescent="0.3">
      <c r="A1572" s="1" t="s">
        <v>1714</v>
      </c>
      <c r="B1572" s="1" t="str">
        <f ca="1">IFERROR(__xludf.DUMMYFUNCTION("GOOGLETRANSLATE(A1572, ""en"", ""fr"")"),"Table de forage")</f>
        <v>Table de forage</v>
      </c>
      <c r="AY1572" s="1" t="s">
        <v>48</v>
      </c>
    </row>
    <row r="1573" spans="1:142" ht="14.25" customHeight="1" x14ac:dyDescent="0.3">
      <c r="A1573" s="1" t="s">
        <v>1715</v>
      </c>
      <c r="B1573" s="1" t="str">
        <f ca="1">IFERROR(__xludf.DUMMYFUNCTION("GOOGLETRANSLATE(A1573, ""en"", ""fr"")"),"Corde")</f>
        <v>Corde</v>
      </c>
      <c r="AY1573" s="1" t="s">
        <v>48</v>
      </c>
    </row>
    <row r="1574" spans="1:142" ht="14.25" customHeight="1" x14ac:dyDescent="0.3">
      <c r="A1574" s="1" t="s">
        <v>1716</v>
      </c>
      <c r="B1574" s="1" t="str">
        <f ca="1">IFERROR(__xludf.DUMMYFUNCTION("GOOGLETRANSLATE(A1574, ""en"", ""fr"")"),"ABANDONNÉ")</f>
        <v>ABANDONNÉ</v>
      </c>
      <c r="D1574" s="1" t="s">
        <v>4963</v>
      </c>
    </row>
    <row r="1575" spans="1:142" ht="14.25" customHeight="1" x14ac:dyDescent="0.3">
      <c r="A1575" s="1" t="s">
        <v>1717</v>
      </c>
      <c r="B1575" s="1" t="str">
        <f ca="1">IFERROR(__xludf.DUMMYFUNCTION("GOOGLETRANSLATE(A1575, ""en"", ""fr"")"),"SÉCHERESSE")</f>
        <v>SÉCHERESSE</v>
      </c>
      <c r="D1575" s="1" t="s">
        <v>4963</v>
      </c>
    </row>
    <row r="1576" spans="1:142" ht="14.25" customHeight="1" x14ac:dyDescent="0.3">
      <c r="A1576" s="1" t="s">
        <v>1718</v>
      </c>
      <c r="B1576" s="1" t="str">
        <f ca="1">IFERROR(__xludf.DUMMYFUNCTION("GOOGLETRANSLATE(A1576, ""en"", ""fr"")"),"Sécheresse")</f>
        <v>Sécheresse</v>
      </c>
      <c r="D1576" s="1" t="s">
        <v>4963</v>
      </c>
    </row>
    <row r="1577" spans="1:142" ht="14.25" customHeight="1" x14ac:dyDescent="0.3">
      <c r="A1577" s="1" t="s">
        <v>1719</v>
      </c>
      <c r="B1577" s="1" t="str">
        <f ca="1">IFERROR(__xludf.DUMMYFUNCTION("GOOGLETRANSLATE(A1577, ""en"", ""fr"")"),"marchandise en vrac sèche")</f>
        <v>marchandise en vrac sèche</v>
      </c>
      <c r="G1577" s="1" t="s">
        <v>5</v>
      </c>
      <c r="M1577" s="1" t="s">
        <v>10</v>
      </c>
    </row>
    <row r="1578" spans="1:142" ht="14.25" customHeight="1" x14ac:dyDescent="0.3">
      <c r="A1578" s="1" t="s">
        <v>1720</v>
      </c>
      <c r="B1578" s="1" t="str">
        <f ca="1">IFERROR(__xludf.DUMMYFUNCTION("GOOGLETRANSLATE(A1578, ""en"", ""fr"")"),"Trou sec")</f>
        <v>Trou sec</v>
      </c>
      <c r="AY1578" s="1" t="s">
        <v>48</v>
      </c>
    </row>
    <row r="1579" spans="1:142" ht="14.25" customHeight="1" x14ac:dyDescent="0.3">
      <c r="A1579" s="1" t="s">
        <v>1721</v>
      </c>
      <c r="B1579" s="1" t="str">
        <f ca="1">IFERROR(__xludf.DUMMYFUNCTION("GOOGLETRANSLATE(A1579, ""en"", ""fr"")"),"Gaz naturel sec")</f>
        <v>Gaz naturel sec</v>
      </c>
      <c r="EL1579" s="1" t="s">
        <v>139</v>
      </c>
    </row>
    <row r="1580" spans="1:142" ht="14.25" customHeight="1" x14ac:dyDescent="0.3">
      <c r="A1580" s="1" t="s">
        <v>1722</v>
      </c>
      <c r="B1580" s="1" t="str">
        <f ca="1">IFERROR(__xludf.DUMMYFUNCTION("GOOGLETRANSLATE(A1580, ""en"", ""fr"")"),"DSO")</f>
        <v>DSO</v>
      </c>
      <c r="CR1580" s="1" t="s">
        <v>93</v>
      </c>
    </row>
    <row r="1581" spans="1:142" ht="14.25" customHeight="1" x14ac:dyDescent="0.3">
      <c r="A1581" s="1" t="s">
        <v>1723</v>
      </c>
      <c r="B1581" s="1" t="str">
        <f ca="1">IFERROR(__xludf.DUMMYFUNCTION("GOOGLETRANSLATE(A1581, ""en"", ""fr"")"),"Double complétion")</f>
        <v>Double complétion</v>
      </c>
      <c r="E1581" s="1" t="s">
        <v>3</v>
      </c>
    </row>
    <row r="1582" spans="1:142" ht="14.25" customHeight="1" x14ac:dyDescent="0.3">
      <c r="A1582" s="1" t="s">
        <v>1724</v>
      </c>
      <c r="B1582" s="1" t="str">
        <f ca="1">IFERROR(__xludf.DUMMYFUNCTION("GOOGLETRANSLATE(A1582, ""en"", ""fr"")"),"Dubai")</f>
        <v>Dubai</v>
      </c>
      <c r="R1582" s="1" t="s">
        <v>15</v>
      </c>
      <c r="CS1582" s="1" t="s">
        <v>94</v>
      </c>
    </row>
    <row r="1583" spans="1:142" ht="14.25" customHeight="1" x14ac:dyDescent="0.3">
      <c r="A1583" s="1" t="s">
        <v>1725</v>
      </c>
      <c r="B1583" s="1" t="str">
        <f ca="1">IFERROR(__xludf.DUMMYFUNCTION("GOOGLETRANSLATE(A1583, ""en"", ""fr"")"),"Duc")</f>
        <v>Duc</v>
      </c>
      <c r="R1583" s="1" t="s">
        <v>15</v>
      </c>
      <c r="CS1583" s="1" t="s">
        <v>94</v>
      </c>
    </row>
    <row r="1584" spans="1:142" ht="14.25" customHeight="1" x14ac:dyDescent="0.3">
      <c r="A1584" s="1" t="s">
        <v>1726</v>
      </c>
      <c r="B1584" s="1" t="str">
        <f ca="1">IFERROR(__xludf.DUMMYFUNCTION("GOOGLETRANSLATE(A1584, ""en"", ""fr"")"),"dukhan")</f>
        <v>dukhan</v>
      </c>
      <c r="BS1584" s="1" t="s">
        <v>68</v>
      </c>
      <c r="CQ1584" s="1" t="s">
        <v>92</v>
      </c>
      <c r="DD1584" s="1" t="s">
        <v>105</v>
      </c>
    </row>
    <row r="1585" spans="1:97" ht="14.25" customHeight="1" x14ac:dyDescent="0.3">
      <c r="A1585" s="1" t="s">
        <v>1727</v>
      </c>
      <c r="B1585" s="1" t="str">
        <f ca="1">IFERROR(__xludf.DUMMYFUNCTION("GOOGLETRANSLATE(A1585, ""en"", ""fr"")"),"Dulang")</f>
        <v>Dulang</v>
      </c>
      <c r="R1585" s="1" t="s">
        <v>15</v>
      </c>
      <c r="CS1585" s="1" t="s">
        <v>94</v>
      </c>
    </row>
    <row r="1586" spans="1:97" ht="14.25" customHeight="1" x14ac:dyDescent="0.3">
      <c r="A1586" s="1" t="s">
        <v>1728</v>
      </c>
      <c r="B1586" s="1" t="str">
        <f ca="1">IFERROR(__xludf.DUMMYFUNCTION("GOOGLETRANSLATE(A1586, ""en"", ""fr"")"),"Commandes de marchandises durables")</f>
        <v>Commandes de marchandises durables</v>
      </c>
      <c r="M1586" s="1" t="s">
        <v>10</v>
      </c>
    </row>
    <row r="1587" spans="1:97" ht="14.25" customHeight="1" x14ac:dyDescent="0.3">
      <c r="A1587" s="1" t="s">
        <v>1729</v>
      </c>
      <c r="B1587" s="1" t="str">
        <f ca="1">IFERROR(__xludf.DUMMYFUNCTION("GOOGLETRANSLATE(A1587, ""en"", ""fr"")"),"CONTRAINTE")</f>
        <v>CONTRAINTE</v>
      </c>
      <c r="D1587" s="1" t="s">
        <v>4963</v>
      </c>
    </row>
    <row r="1588" spans="1:97" ht="14.25" customHeight="1" x14ac:dyDescent="0.3">
      <c r="A1588" s="1" t="s">
        <v>1730</v>
      </c>
      <c r="B1588" s="1" t="str">
        <f ca="1">IFERROR(__xludf.DUMMYFUNCTION("GOOGLETRANSLATE(A1588, ""en"", ""fr"")"),"Duri")</f>
        <v>Duri</v>
      </c>
      <c r="R1588" s="1" t="s">
        <v>15</v>
      </c>
      <c r="CS1588" s="1" t="s">
        <v>94</v>
      </c>
    </row>
    <row r="1589" spans="1:97" ht="14.25" customHeight="1" x14ac:dyDescent="0.3">
      <c r="A1589" s="1" t="s">
        <v>1731</v>
      </c>
      <c r="B1589" s="1" t="str">
        <f ca="1">IFERROR(__xludf.DUMMYFUNCTION("GOOGLETRANSLATE(A1589, ""en"", ""fr"")"),"vente aux enchères néerlandaise")</f>
        <v>vente aux enchères néerlandaise</v>
      </c>
      <c r="CR1589" s="1" t="s">
        <v>93</v>
      </c>
    </row>
    <row r="1590" spans="1:97" ht="14.25" customHeight="1" x14ac:dyDescent="0.3">
      <c r="A1590" s="1" t="s">
        <v>1732</v>
      </c>
      <c r="B1590" s="1" t="str">
        <f ca="1">IFERROR(__xludf.DUMMYFUNCTION("GOOGLETRANSLATE(A1590, ""en"", ""fr"")"),"maladie néerlandaise")</f>
        <v>maladie néerlandaise</v>
      </c>
      <c r="M1590" s="1" t="s">
        <v>10</v>
      </c>
    </row>
    <row r="1591" spans="1:97" ht="14.25" customHeight="1" x14ac:dyDescent="0.3">
      <c r="A1591" s="1" t="s">
        <v>1733</v>
      </c>
      <c r="B1591" s="1" t="str">
        <f ca="1">IFERROR(__xludf.DUMMYFUNCTION("GOOGLETRANSLATE(A1591, ""en"", ""fr"")"),"Opérations dynamiques du marché ouvert")</f>
        <v>Opérations dynamiques du marché ouvert</v>
      </c>
      <c r="M1591" s="1" t="s">
        <v>10</v>
      </c>
    </row>
    <row r="1592" spans="1:97" ht="14.25" customHeight="1" x14ac:dyDescent="0.3">
      <c r="A1592" s="1" t="s">
        <v>1734</v>
      </c>
      <c r="B1592" s="1" t="str">
        <f ca="1">IFERROR(__xludf.DUMMYFUNCTION("GOOGLETRANSLATE(A1592, ""en"", ""fr"")"),"DYSFONCTIONNEMENT")</f>
        <v>DYSFONCTIONNEMENT</v>
      </c>
      <c r="D1592" s="1" t="s">
        <v>4963</v>
      </c>
    </row>
    <row r="1593" spans="1:97" ht="14.25" customHeight="1" x14ac:dyDescent="0.3">
      <c r="A1593" s="1" t="s">
        <v>1735</v>
      </c>
      <c r="B1593" s="1" t="str">
        <f ca="1">IFERROR(__xludf.DUMMYFUNCTION("GOOGLETRANSLATE(A1593, ""en"", ""fr"")"),"Dysfonctionnel")</f>
        <v>Dysfonctionnel</v>
      </c>
      <c r="D1593" s="1" t="s">
        <v>4963</v>
      </c>
    </row>
    <row r="1594" spans="1:97" ht="14.25" customHeight="1" x14ac:dyDescent="0.3">
      <c r="A1594" s="1" t="s">
        <v>1736</v>
      </c>
      <c r="B1594" s="1" t="str">
        <f ca="1">IFERROR(__xludf.DUMMYFUNCTION("GOOGLETRANSLATE(A1594, ""en"", ""fr"")"),"Dysfonctionnements")</f>
        <v>Dysfonctionnements</v>
      </c>
      <c r="D1594" s="1" t="s">
        <v>4963</v>
      </c>
    </row>
    <row r="1595" spans="1:97" ht="14.25" customHeight="1" x14ac:dyDescent="0.3">
      <c r="A1595" s="1" t="s">
        <v>1737</v>
      </c>
      <c r="B1595" s="1" t="str">
        <f ca="1">IFERROR(__xludf.DUMMYFUNCTION("GOOGLETRANSLATE(A1595, ""en"", ""fr"")"),"EA brut")</f>
        <v>EA brut</v>
      </c>
      <c r="R1595" s="1" t="s">
        <v>15</v>
      </c>
      <c r="CS1595" s="1" t="s">
        <v>94</v>
      </c>
    </row>
    <row r="1596" spans="1:97" ht="14.25" customHeight="1" x14ac:dyDescent="0.3">
      <c r="A1596" s="1" t="s">
        <v>1738</v>
      </c>
      <c r="B1596" s="1" t="str">
        <f ca="1">IFERROR(__xludf.DUMMYFUNCTION("GOOGLETRANSLATE(A1596, ""en"", ""fr"")"),"revenus gagnés")</f>
        <v>revenus gagnés</v>
      </c>
      <c r="M1596" s="1" t="s">
        <v>10</v>
      </c>
    </row>
    <row r="1597" spans="1:97" ht="14.25" customHeight="1" x14ac:dyDescent="0.3">
      <c r="A1597" s="1" t="s">
        <v>1739</v>
      </c>
      <c r="B1597" s="1" t="str">
        <f ca="1">IFERROR(__xludf.DUMMYFUNCTION("GOOGLETRANSLATE(A1597, ""en"", ""fr"")"),"le bénéfice avant intérêts et impôts")</f>
        <v>le bénéfice avant intérêts et impôts</v>
      </c>
      <c r="CR1597" s="1" t="s">
        <v>93</v>
      </c>
    </row>
    <row r="1598" spans="1:97" ht="14.25" customHeight="1" x14ac:dyDescent="0.3">
      <c r="A1598" s="1" t="s">
        <v>1740</v>
      </c>
      <c r="B1598" s="1" t="str">
        <f ca="1">IFERROR(__xludf.DUMMYFUNCTION("GOOGLETRANSLATE(A1598, ""en"", ""fr"")"),"bénéfice par action")</f>
        <v>bénéfice par action</v>
      </c>
      <c r="CR1598" s="1" t="s">
        <v>93</v>
      </c>
    </row>
    <row r="1599" spans="1:97" ht="14.25" customHeight="1" x14ac:dyDescent="0.3">
      <c r="A1599" s="1" t="s">
        <v>1741</v>
      </c>
      <c r="B1599" s="1" t="str">
        <f ca="1">IFERROR(__xludf.DUMMYFUNCTION("GOOGLETRANSLATE(A1599, ""en"", ""fr"")"),"PLUS FACILE")</f>
        <v>PLUS FACILE</v>
      </c>
      <c r="H1599" s="1" t="s">
        <v>4964</v>
      </c>
    </row>
    <row r="1600" spans="1:97" ht="14.25" customHeight="1" x14ac:dyDescent="0.3">
      <c r="A1600" s="1" t="s">
        <v>1742</v>
      </c>
      <c r="B1600" s="1" t="str">
        <f ca="1">IFERROR(__xludf.DUMMYFUNCTION("GOOGLETRANSLATE(A1600, ""en"", ""fr"")"),"FACILEMENT")</f>
        <v>FACILEMENT</v>
      </c>
      <c r="H1600" s="1" t="s">
        <v>4964</v>
      </c>
    </row>
    <row r="1601" spans="1:115" ht="14.25" customHeight="1" x14ac:dyDescent="0.3">
      <c r="A1601" s="1" t="s">
        <v>1743</v>
      </c>
      <c r="B1601" s="1" t="str">
        <f ca="1">IFERROR(__xludf.DUMMYFUNCTION("GOOGLETRANSLATE(A1601, ""en"", ""fr"")"),"Assouplissement")</f>
        <v>Assouplissement</v>
      </c>
      <c r="D1601" s="1" t="s">
        <v>4963</v>
      </c>
    </row>
    <row r="1602" spans="1:115" ht="14.25" customHeight="1" x14ac:dyDescent="0.3">
      <c r="A1602" s="1" t="s">
        <v>1744</v>
      </c>
      <c r="B1602" s="1" t="str">
        <f ca="1">IFERROR(__xludf.DUMMYFUNCTION("GOOGLETRANSLATE(A1602, ""en"", ""fr"")"),"East Bagdad")</f>
        <v>East Bagdad</v>
      </c>
      <c r="AU1602" s="1" t="s">
        <v>44</v>
      </c>
      <c r="BE1602" s="1" t="s">
        <v>54</v>
      </c>
      <c r="BS1602" s="1" t="s">
        <v>68</v>
      </c>
      <c r="DD1602" s="1" t="s">
        <v>105</v>
      </c>
    </row>
    <row r="1603" spans="1:115" ht="14.25" customHeight="1" x14ac:dyDescent="0.3">
      <c r="A1603" s="1" t="s">
        <v>1745</v>
      </c>
      <c r="B1603" s="1" t="str">
        <f ca="1">IFERROR(__xludf.DUMMYFUNCTION("GOOGLETRANSLATE(A1603, ""en"", ""fr"")"),"East MS Mix")</f>
        <v>East MS Mix</v>
      </c>
      <c r="R1603" s="1" t="s">
        <v>15</v>
      </c>
      <c r="CS1603" s="1" t="s">
        <v>94</v>
      </c>
    </row>
    <row r="1604" spans="1:115" ht="14.25" customHeight="1" x14ac:dyDescent="0.3">
      <c r="A1604" s="1" t="s">
        <v>1746</v>
      </c>
      <c r="B1604" s="1" t="str">
        <f ca="1">IFERROR(__xludf.DUMMYFUNCTION("GOOGLETRANSLATE(A1604, ""en"", ""fr"")"),"huile d'Easttexas")</f>
        <v>huile d'Easttexas</v>
      </c>
      <c r="DD1604" s="1" t="s">
        <v>105</v>
      </c>
      <c r="DF1604" s="1" t="s">
        <v>107</v>
      </c>
      <c r="DK1604" s="1" t="s">
        <v>112</v>
      </c>
    </row>
    <row r="1605" spans="1:115" ht="14.25" customHeight="1" x14ac:dyDescent="0.3">
      <c r="A1605" s="1" t="s">
        <v>1747</v>
      </c>
      <c r="B1605" s="1" t="str">
        <f ca="1">IFERROR(__xludf.DUMMYFUNCTION("GOOGLETRANSLATE(A1605, ""en"", ""fr"")"),"FACILE")</f>
        <v>FACILE</v>
      </c>
      <c r="H1605" s="1" t="s">
        <v>4964</v>
      </c>
    </row>
    <row r="1606" spans="1:115" ht="14.25" customHeight="1" x14ac:dyDescent="0.3">
      <c r="A1606" s="1" t="s">
        <v>1748</v>
      </c>
      <c r="B1606" s="1" t="str">
        <f ca="1">IFERROR(__xludf.DUMMYFUNCTION("GOOGLETRANSLATE(A1606, ""en"", ""fr"")"),"politique monétaire facile")</f>
        <v>politique monétaire facile</v>
      </c>
      <c r="M1606" s="1" t="s">
        <v>10</v>
      </c>
    </row>
    <row r="1607" spans="1:115" ht="14.25" customHeight="1" x14ac:dyDescent="0.3">
      <c r="A1607" s="1" t="s">
        <v>1749</v>
      </c>
      <c r="B1607" s="1" t="str">
        <f ca="1">IFERROR(__xludf.DUMMYFUNCTION("GOOGLETRANSLATE(A1607, ""en"", ""fr"")"),"EBIT")</f>
        <v>EBIT</v>
      </c>
      <c r="CR1607" s="1" t="s">
        <v>93</v>
      </c>
    </row>
    <row r="1608" spans="1:115" ht="14.25" customHeight="1" x14ac:dyDescent="0.3">
      <c r="A1608" s="1" t="s">
        <v>1750</v>
      </c>
      <c r="B1608" s="1" t="str">
        <f ca="1">IFERROR(__xludf.DUMMYFUNCTION("GOOGLETRANSLATE(A1608, ""en"", ""fr"")"),"EBIT / DA")</f>
        <v>EBIT / DA</v>
      </c>
      <c r="CR1608" s="1" t="s">
        <v>93</v>
      </c>
    </row>
    <row r="1609" spans="1:115" ht="14.25" customHeight="1" x14ac:dyDescent="0.3">
      <c r="A1609" s="1" t="s">
        <v>1751</v>
      </c>
      <c r="B1609" s="1" t="str">
        <f ca="1">IFERROR(__xludf.DUMMYFUNCTION("GOOGLETRANSLATE(A1609, ""en"", ""fr"")"),"ECI")</f>
        <v>ECI</v>
      </c>
      <c r="M1609" s="1" t="s">
        <v>10</v>
      </c>
    </row>
    <row r="1610" spans="1:115" ht="14.25" customHeight="1" x14ac:dyDescent="0.3">
      <c r="A1610" s="1" t="s">
        <v>1752</v>
      </c>
      <c r="B1610" s="1" t="str">
        <f ca="1">IFERROR(__xludf.DUMMYFUNCTION("GOOGLETRANSLATE(A1610, ""en"", ""fr"")"),"économétrie")</f>
        <v>économétrie</v>
      </c>
      <c r="M1610" s="1" t="s">
        <v>10</v>
      </c>
    </row>
    <row r="1611" spans="1:115" ht="14.25" customHeight="1" x14ac:dyDescent="0.3">
      <c r="A1611" s="1" t="s">
        <v>1753</v>
      </c>
      <c r="B1611" s="1" t="str">
        <f ca="1">IFERROR(__xludf.DUMMYFUNCTION("GOOGLETRANSLATE(A1611, ""en"", ""fr"")"),"économique")</f>
        <v>économique</v>
      </c>
      <c r="M1611" s="1" t="s">
        <v>10</v>
      </c>
    </row>
    <row r="1612" spans="1:115" ht="14.25" customHeight="1" x14ac:dyDescent="0.3">
      <c r="A1612" s="1" t="s">
        <v>1754</v>
      </c>
      <c r="B1612" s="1" t="str">
        <f ca="1">IFERROR(__xludf.DUMMYFUNCTION("GOOGLETRANSLATE(A1612, ""en"", ""fr"")"),"anxiété économique")</f>
        <v>anxiété économique</v>
      </c>
      <c r="M1612" s="1" t="s">
        <v>10</v>
      </c>
    </row>
    <row r="1613" spans="1:115" ht="14.25" customHeight="1" x14ac:dyDescent="0.3">
      <c r="A1613" s="1" t="s">
        <v>1755</v>
      </c>
      <c r="B1613" s="1" t="str">
        <f ca="1">IFERROR(__xludf.DUMMYFUNCTION("GOOGLETRANSLATE(A1613, ""en"", ""fr"")"),"base économique")</f>
        <v>base économique</v>
      </c>
      <c r="M1613" s="1" t="s">
        <v>10</v>
      </c>
    </row>
    <row r="1614" spans="1:115" ht="14.25" customHeight="1" x14ac:dyDescent="0.3">
      <c r="A1614" s="1" t="s">
        <v>1756</v>
      </c>
      <c r="B1614" s="1" t="str">
        <f ca="1">IFERROR(__xludf.DUMMYFUNCTION("GOOGLETRANSLATE(A1614, ""en"", ""fr"")"),"calendrier économique")</f>
        <v>calendrier économique</v>
      </c>
      <c r="M1614" s="1" t="s">
        <v>10</v>
      </c>
    </row>
    <row r="1615" spans="1:115" ht="14.25" customHeight="1" x14ac:dyDescent="0.3">
      <c r="A1615" s="1" t="s">
        <v>1757</v>
      </c>
      <c r="B1615" s="1" t="str">
        <f ca="1">IFERROR(__xludf.DUMMYFUNCTION("GOOGLETRANSLATE(A1615, ""en"", ""fr"")"),"contraction économique")</f>
        <v>contraction économique</v>
      </c>
      <c r="M1615" s="1" t="s">
        <v>10</v>
      </c>
    </row>
    <row r="1616" spans="1:115" ht="14.25" customHeight="1" x14ac:dyDescent="0.3">
      <c r="A1616" s="1" t="s">
        <v>1758</v>
      </c>
      <c r="B1616" s="1" t="str">
        <f ca="1">IFERROR(__xludf.DUMMYFUNCTION("GOOGLETRANSLATE(A1616, ""en"", ""fr"")"),"cycle économique")</f>
        <v>cycle économique</v>
      </c>
      <c r="M1616" s="1" t="s">
        <v>10</v>
      </c>
    </row>
    <row r="1617" spans="1:96" ht="14.25" customHeight="1" x14ac:dyDescent="0.3">
      <c r="A1617" s="1" t="s">
        <v>1759</v>
      </c>
      <c r="B1617" s="1" t="str">
        <f ca="1">IFERROR(__xludf.DUMMYFUNCTION("GOOGLETRANSLATE(A1617, ""en"", ""fr"")"),"dérivé économique")</f>
        <v>dérivé économique</v>
      </c>
      <c r="M1617" s="1" t="s">
        <v>10</v>
      </c>
    </row>
    <row r="1618" spans="1:96" ht="14.25" customHeight="1" x14ac:dyDescent="0.3">
      <c r="A1618" s="1" t="s">
        <v>1760</v>
      </c>
      <c r="B1618" s="1" t="str">
        <f ca="1">IFERROR(__xludf.DUMMYFUNCTION("GOOGLETRANSLATE(A1618, ""en"", ""fr"")"),"croissance économique")</f>
        <v>croissance économique</v>
      </c>
      <c r="M1618" s="1" t="s">
        <v>10</v>
      </c>
    </row>
    <row r="1619" spans="1:96" ht="14.25" customHeight="1" x14ac:dyDescent="0.3">
      <c r="A1619" s="1" t="s">
        <v>1761</v>
      </c>
      <c r="B1619" s="1" t="str">
        <f ca="1">IFERROR(__xludf.DUMMYFUNCTION("GOOGLETRANSLATE(A1619, ""en"", ""fr"")"),"taux de croissance économique")</f>
        <v>taux de croissance économique</v>
      </c>
      <c r="M1619" s="1" t="s">
        <v>10</v>
      </c>
    </row>
    <row r="1620" spans="1:96" ht="14.25" customHeight="1" x14ac:dyDescent="0.3">
      <c r="A1620" s="1" t="s">
        <v>1762</v>
      </c>
      <c r="B1620" s="1" t="str">
        <f ca="1">IFERROR(__xludf.DUMMYFUNCTION("GOOGLETRANSLATE(A1620, ""en"", ""fr"")"),"indicateur économique")</f>
        <v>indicateur économique</v>
      </c>
      <c r="M1620" s="1" t="s">
        <v>10</v>
      </c>
    </row>
    <row r="1621" spans="1:96" ht="14.25" customHeight="1" x14ac:dyDescent="0.3">
      <c r="A1621" s="1" t="s">
        <v>1763</v>
      </c>
      <c r="B1621" s="1" t="str">
        <f ca="1">IFERROR(__xludf.DUMMYFUNCTION("GOOGLETRANSLATE(A1621, ""en"", ""fr"")"),"indicateurs économiques")</f>
        <v>indicateurs économiques</v>
      </c>
      <c r="CR1621" s="1" t="s">
        <v>93</v>
      </c>
    </row>
    <row r="1622" spans="1:96" ht="14.25" customHeight="1" x14ac:dyDescent="0.3">
      <c r="A1622" s="1" t="s">
        <v>1764</v>
      </c>
      <c r="B1622" s="1" t="str">
        <f ca="1">IFERROR(__xludf.DUMMYFUNCTION("GOOGLETRANSLATE(A1622, ""en"", ""fr"")"),"douves économiques")</f>
        <v>douves économiques</v>
      </c>
      <c r="M1622" s="1" t="s">
        <v>10</v>
      </c>
    </row>
    <row r="1623" spans="1:96" ht="14.25" customHeight="1" x14ac:dyDescent="0.3">
      <c r="A1623" s="1" t="s">
        <v>1765</v>
      </c>
      <c r="B1623" s="1" t="str">
        <f ca="1">IFERROR(__xludf.DUMMYFUNCTION("GOOGLETRANSLATE(A1623, ""en"", ""fr"")"),"Quantité d'ordre économique")</f>
        <v>Quantité d'ordre économique</v>
      </c>
      <c r="M1623" s="1" t="s">
        <v>10</v>
      </c>
    </row>
    <row r="1624" spans="1:96" ht="14.25" customHeight="1" x14ac:dyDescent="0.3">
      <c r="A1624" s="1" t="s">
        <v>1766</v>
      </c>
      <c r="B1624" s="1" t="str">
        <f ca="1">IFERROR(__xludf.DUMMYFUNCTION("GOOGLETRANSLATE(A1624, ""en"", ""fr"")"),"perspective économique")</f>
        <v>perspective économique</v>
      </c>
      <c r="M1624" s="1" t="s">
        <v>10</v>
      </c>
    </row>
    <row r="1625" spans="1:96" ht="14.25" customHeight="1" x14ac:dyDescent="0.3">
      <c r="A1625" s="1" t="s">
        <v>1767</v>
      </c>
      <c r="B1625" s="1" t="str">
        <f ca="1">IFERROR(__xludf.DUMMYFUNCTION("GOOGLETRANSLATE(A1625, ""en"", ""fr"")"),"Economic Pearl Harbor")</f>
        <v>Economic Pearl Harbor</v>
      </c>
      <c r="M1625" s="1" t="s">
        <v>10</v>
      </c>
    </row>
    <row r="1626" spans="1:96" ht="14.25" customHeight="1" x14ac:dyDescent="0.3">
      <c r="A1626" s="1" t="s">
        <v>1768</v>
      </c>
      <c r="B1626" s="1" t="str">
        <f ca="1">IFERROR(__xludf.DUMMYFUNCTION("GOOGLETRANSLATE(A1626, ""en"", ""fr"")"),"politique économique")</f>
        <v>politique économique</v>
      </c>
      <c r="M1626" s="1" t="s">
        <v>10</v>
      </c>
    </row>
    <row r="1627" spans="1:96" ht="14.25" customHeight="1" x14ac:dyDescent="0.3">
      <c r="A1627" s="1" t="s">
        <v>1769</v>
      </c>
      <c r="B1627" s="1" t="str">
        <f ca="1">IFERROR(__xludf.DUMMYFUNCTION("GOOGLETRANSLATE(A1627, ""en"", ""fr"")"),"profit économique")</f>
        <v>profit économique</v>
      </c>
      <c r="CR1627" s="1" t="s">
        <v>93</v>
      </c>
    </row>
    <row r="1628" spans="1:96" ht="14.25" customHeight="1" x14ac:dyDescent="0.3">
      <c r="A1628" s="1" t="s">
        <v>1770</v>
      </c>
      <c r="B1628" s="1" t="str">
        <f ca="1">IFERROR(__xludf.DUMMYFUNCTION("GOOGLETRANSLATE(A1628, ""en"", ""fr"")"),"reprise économique")</f>
        <v>reprise économique</v>
      </c>
      <c r="M1628" s="1" t="s">
        <v>10</v>
      </c>
    </row>
    <row r="1629" spans="1:96" ht="14.25" customHeight="1" x14ac:dyDescent="0.3">
      <c r="A1629" s="1" t="s">
        <v>1771</v>
      </c>
      <c r="B1629" s="1" t="str">
        <f ca="1">IFERROR(__xludf.DUMMYFUNCTION("GOOGLETRANSLATE(A1629, ""en"", ""fr"")"),"Loi sur la taxe sur la reprise économique de 1981")</f>
        <v>Loi sur la taxe sur la reprise économique de 1981</v>
      </c>
      <c r="M1629" s="1" t="s">
        <v>10</v>
      </c>
    </row>
    <row r="1630" spans="1:96" ht="14.25" customHeight="1" x14ac:dyDescent="0.3">
      <c r="A1630" s="1" t="s">
        <v>1772</v>
      </c>
      <c r="B1630" s="1" t="str">
        <f ca="1">IFERROR(__xludf.DUMMYFUNCTION("GOOGLETRANSLATE(A1630, ""en"", ""fr"")"),"risque économique")</f>
        <v>risque économique</v>
      </c>
      <c r="M1630" s="1" t="s">
        <v>10</v>
      </c>
    </row>
    <row r="1631" spans="1:96" ht="14.25" customHeight="1" x14ac:dyDescent="0.3">
      <c r="A1631" s="1" t="s">
        <v>1773</v>
      </c>
      <c r="B1631" s="1" t="str">
        <f ca="1">IFERROR(__xludf.DUMMYFUNCTION("GOOGLETRANSLATE(A1631, ""en"", ""fr"")"),"sanctions économiques")</f>
        <v>sanctions économiques</v>
      </c>
      <c r="M1631" s="1" t="s">
        <v>10</v>
      </c>
    </row>
    <row r="1632" spans="1:96" ht="14.25" customHeight="1" x14ac:dyDescent="0.3">
      <c r="A1632" s="1" t="s">
        <v>1774</v>
      </c>
      <c r="B1632" s="1" t="str">
        <f ca="1">IFERROR(__xludf.DUMMYFUNCTION("GOOGLETRANSLATE(A1632, ""en"", ""fr"")"),"surplus économique")</f>
        <v>surplus économique</v>
      </c>
      <c r="M1632" s="1" t="s">
        <v>10</v>
      </c>
    </row>
    <row r="1633" spans="1:124" ht="14.25" customHeight="1" x14ac:dyDescent="0.3">
      <c r="A1633" s="1" t="s">
        <v>1775</v>
      </c>
      <c r="B1633" s="1" t="str">
        <f ca="1">IFERROR(__xludf.DUMMYFUNCTION("GOOGLETRANSLATE(A1633, ""en"", ""fr"")"),"la valeur économique ajoutée")</f>
        <v>la valeur économique ajoutée</v>
      </c>
      <c r="M1633" s="1" t="s">
        <v>10</v>
      </c>
    </row>
    <row r="1634" spans="1:124" ht="14.25" customHeight="1" x14ac:dyDescent="0.3">
      <c r="A1634" s="1" t="s">
        <v>1776</v>
      </c>
      <c r="B1634" s="1" t="str">
        <f ca="1">IFERROR(__xludf.DUMMYFUNCTION("GOOGLETRANSLATE(A1634, ""en"", ""fr"")"),"économique")</f>
        <v>économique</v>
      </c>
      <c r="M1634" s="1" t="s">
        <v>10</v>
      </c>
    </row>
    <row r="1635" spans="1:124" ht="14.25" customHeight="1" x14ac:dyDescent="0.3">
      <c r="A1635" s="1" t="s">
        <v>1777</v>
      </c>
      <c r="B1635" s="1" t="str">
        <f ca="1">IFERROR(__xludf.DUMMYFUNCTION("GOOGLETRANSLATE(A1635, ""en"", ""fr"")"),"économie")</f>
        <v>économie</v>
      </c>
      <c r="M1635" s="1" t="s">
        <v>10</v>
      </c>
    </row>
    <row r="1636" spans="1:124" ht="14.25" customHeight="1" x14ac:dyDescent="0.3">
      <c r="A1636" s="1" t="s">
        <v>1778</v>
      </c>
      <c r="B1636" s="1" t="str">
        <f ca="1">IFERROR(__xludf.DUMMYFUNCTION("GOOGLETRANSLATE(A1636, ""en"", ""fr"")"),"économiste")</f>
        <v>économiste</v>
      </c>
      <c r="M1636" s="1" t="s">
        <v>10</v>
      </c>
    </row>
    <row r="1637" spans="1:124" ht="14.25" customHeight="1" x14ac:dyDescent="0.3">
      <c r="A1637" s="1" t="s">
        <v>1779</v>
      </c>
      <c r="B1637" s="1" t="str">
        <f ca="1">IFERROR(__xludf.DUMMYFUNCTION("GOOGLETRANSLATE(A1637, ""en"", ""fr"")"),"économie")</f>
        <v>économie</v>
      </c>
      <c r="M1637" s="1" t="s">
        <v>10</v>
      </c>
    </row>
    <row r="1638" spans="1:124" ht="14.25" customHeight="1" x14ac:dyDescent="0.3">
      <c r="A1638" s="1" t="s">
        <v>1780</v>
      </c>
      <c r="B1638" s="1" t="str">
        <f ca="1">IFERROR(__xludf.DUMMYFUNCTION("GOOGLETRANSLATE(A1638, ""en"", ""fr"")"),"écopetrol")</f>
        <v>écopetrol</v>
      </c>
      <c r="S1638" s="1" t="s">
        <v>16</v>
      </c>
      <c r="AQ1638" s="1" t="s">
        <v>40</v>
      </c>
      <c r="DT1638" s="1" t="s">
        <v>121</v>
      </c>
    </row>
    <row r="1639" spans="1:124" ht="14.25" customHeight="1" x14ac:dyDescent="0.3">
      <c r="A1639" s="1" t="s">
        <v>1781</v>
      </c>
      <c r="B1639" s="1" t="str">
        <f ca="1">IFERROR(__xludf.DUMMYFUNCTION("GOOGLETRANSLATE(A1639, ""en"", ""fr"")"),"élégant")</f>
        <v>élégant</v>
      </c>
      <c r="J1639" s="1" t="s">
        <v>7</v>
      </c>
    </row>
    <row r="1640" spans="1:124" ht="14.25" customHeight="1" x14ac:dyDescent="0.3">
      <c r="A1640" s="1" t="s">
        <v>1782</v>
      </c>
      <c r="B1640" s="1" t="str">
        <f ca="1">IFERROR(__xludf.DUMMYFUNCTION("GOOGLETRANSLATE(A1640, ""en"", ""fr"")"),"acte de bord")</f>
        <v>acte de bord</v>
      </c>
      <c r="M1640" s="1" t="s">
        <v>10</v>
      </c>
    </row>
    <row r="1641" spans="1:124" ht="14.25" customHeight="1" x14ac:dyDescent="0.3">
      <c r="A1641" s="1" t="s">
        <v>1783</v>
      </c>
      <c r="B1641" s="1" t="str">
        <f ca="1">IFERROR(__xludf.DUMMYFUNCTION("GOOGLETRANSLATE(A1641, ""en"", ""fr"")"),"éditeur")</f>
        <v>éditeur</v>
      </c>
      <c r="J1641" s="1" t="s">
        <v>7</v>
      </c>
    </row>
    <row r="1642" spans="1:124" ht="14.25" customHeight="1" x14ac:dyDescent="0.3">
      <c r="A1642" s="1" t="s">
        <v>1784</v>
      </c>
      <c r="B1642" s="1" t="str">
        <f ca="1">IFERROR(__xludf.DUMMYFUNCTION("GOOGLETRANSLATE(A1642, ""en"", ""fr"")"),"EFFICACE")</f>
        <v>EFFICACE</v>
      </c>
      <c r="H1642" s="1" t="s">
        <v>4964</v>
      </c>
    </row>
    <row r="1643" spans="1:124" ht="14.25" customHeight="1" x14ac:dyDescent="0.3">
      <c r="A1643" s="1" t="s">
        <v>1785</v>
      </c>
      <c r="B1643" s="1" t="str">
        <f ca="1">IFERROR(__xludf.DUMMYFUNCTION("GOOGLETRANSLATE(A1643, ""en"", ""fr"")"),"Efficacité")</f>
        <v>Efficacité</v>
      </c>
      <c r="H1643" s="1" t="s">
        <v>4964</v>
      </c>
    </row>
    <row r="1644" spans="1:124" ht="14.25" customHeight="1" x14ac:dyDescent="0.3">
      <c r="A1644" s="1" t="s">
        <v>1786</v>
      </c>
      <c r="B1644" s="1" t="str">
        <f ca="1">IFERROR(__xludf.DUMMYFUNCTION("GOOGLETRANSLATE(A1644, ""en"", ""fr"")"),"efficacité")</f>
        <v>efficacité</v>
      </c>
      <c r="M1644" s="1" t="s">
        <v>10</v>
      </c>
    </row>
    <row r="1645" spans="1:124" ht="14.25" customHeight="1" x14ac:dyDescent="0.3">
      <c r="A1645" s="1" t="s">
        <v>1787</v>
      </c>
      <c r="B1645" s="1" t="str">
        <f ca="1">IFERROR(__xludf.DUMMYFUNCTION("GOOGLETRANSLATE(A1645, ""en"", ""fr"")"),"EFFICACITÉ")</f>
        <v>EFFICACITÉ</v>
      </c>
      <c r="H1645" s="1" t="s">
        <v>4964</v>
      </c>
    </row>
    <row r="1646" spans="1:124" ht="14.25" customHeight="1" x14ac:dyDescent="0.3">
      <c r="A1646" s="1" t="s">
        <v>1788</v>
      </c>
      <c r="B1646" s="1" t="str">
        <f ca="1">IFERROR(__xludf.DUMMYFUNCTION("GOOGLETRANSLATE(A1646, ""en"", ""fr"")"),"EFFICACE")</f>
        <v>EFFICACE</v>
      </c>
      <c r="H1646" s="1" t="s">
        <v>4964</v>
      </c>
    </row>
    <row r="1647" spans="1:124" ht="14.25" customHeight="1" x14ac:dyDescent="0.3">
      <c r="A1647" s="1" t="s">
        <v>1789</v>
      </c>
      <c r="B1647" s="1" t="str">
        <f ca="1">IFERROR(__xludf.DUMMYFUNCTION("GOOGLETRANSLATE(A1647, ""en"", ""fr"")"),"Efficacement")</f>
        <v>Efficacement</v>
      </c>
      <c r="H1647" s="1" t="s">
        <v>4964</v>
      </c>
    </row>
    <row r="1648" spans="1:124" ht="14.25" customHeight="1" x14ac:dyDescent="0.3">
      <c r="A1648" s="1" t="s">
        <v>1790</v>
      </c>
      <c r="B1648" s="1" t="str">
        <f ca="1">IFERROR(__xludf.DUMMYFUNCTION("GOOGLETRANSLATE(A1648, ""en"", ""fr"")"),"ODIEUX")</f>
        <v>ODIEUX</v>
      </c>
      <c r="D1648" s="1" t="s">
        <v>4963</v>
      </c>
    </row>
    <row r="1649" spans="1:115" ht="14.25" customHeight="1" x14ac:dyDescent="0.3">
      <c r="A1649" s="1" t="s">
        <v>1791</v>
      </c>
      <c r="B1649" s="1" t="str">
        <f ca="1">IFERROR(__xludf.DUMMYFUNCTION("GOOGLETRANSLATE(A1649, ""en"", ""fr"")"),"Debout")</f>
        <v>Debout</v>
      </c>
      <c r="D1649" s="1" t="s">
        <v>4963</v>
      </c>
    </row>
    <row r="1650" spans="1:115" ht="14.25" customHeight="1" x14ac:dyDescent="0.3">
      <c r="A1650" s="1" t="s">
        <v>1792</v>
      </c>
      <c r="B1650" s="1" t="str">
        <f ca="1">IFERROR(__xludf.DUMMYFUNCTION("GOOGLETRANSLATE(A1650, ""en"", ""fr"")"),"soit")</f>
        <v>soit</v>
      </c>
      <c r="J1650" s="1" t="s">
        <v>7</v>
      </c>
    </row>
    <row r="1651" spans="1:115" ht="14.25" customHeight="1" x14ac:dyDescent="0.3">
      <c r="A1651" s="1" t="s">
        <v>1793</v>
      </c>
      <c r="B1651" s="1" t="str">
        <f ca="1">IFERROR(__xludf.DUMMYFUNCTION("GOOGLETRANSLATE(A1651, ""en"", ""fr"")"),"Mélange ekofisk")</f>
        <v>Mélange ekofisk</v>
      </c>
      <c r="R1651" s="1" t="s">
        <v>15</v>
      </c>
      <c r="CS1651" s="1" t="s">
        <v>94</v>
      </c>
    </row>
    <row r="1652" spans="1:115" ht="14.25" customHeight="1" x14ac:dyDescent="0.3">
      <c r="A1652" s="1" t="s">
        <v>1794</v>
      </c>
      <c r="B1652" s="1" t="str">
        <f ca="1">IFERROR(__xludf.DUMMYFUNCTION("GOOGLETRANSLATE(A1652, ""en"", ""fr"")"),"ekofiskoil")</f>
        <v>ekofiskoil</v>
      </c>
      <c r="BB1652" s="1" t="s">
        <v>51</v>
      </c>
      <c r="DD1652" s="1" t="s">
        <v>105</v>
      </c>
    </row>
    <row r="1653" spans="1:115" ht="14.25" customHeight="1" x14ac:dyDescent="0.3">
      <c r="A1653" s="1" t="s">
        <v>1795</v>
      </c>
      <c r="B1653" s="1" t="str">
        <f ca="1">IFERROR(__xludf.DUMMYFUNCTION("GOOGLETRANSLATE(A1653, ""en"", ""fr"")"),"El Sharara")</f>
        <v>El Sharara</v>
      </c>
      <c r="R1653" s="1" t="s">
        <v>15</v>
      </c>
      <c r="CS1653" s="1" t="s">
        <v>94</v>
      </c>
    </row>
    <row r="1654" spans="1:115" ht="14.25" customHeight="1" x14ac:dyDescent="0.3">
      <c r="A1654" s="1" t="s">
        <v>1796</v>
      </c>
      <c r="B1654" s="1" t="str">
        <f ca="1">IFERROR(__xludf.DUMMYFUNCTION("GOOGLETRANSLATE(A1654, ""en"", ""fr"")"),"élastique")</f>
        <v>élastique</v>
      </c>
      <c r="M1654" s="1" t="s">
        <v>10</v>
      </c>
    </row>
    <row r="1655" spans="1:115" ht="14.25" customHeight="1" x14ac:dyDescent="0.3">
      <c r="A1655" s="1" t="s">
        <v>1797</v>
      </c>
      <c r="B1655" s="1" t="str">
        <f ca="1">IFERROR(__xludf.DUMMYFUNCTION("GOOGLETRANSLATE(A1655, ""en"", ""fr"")"),"élasticité")</f>
        <v>élasticité</v>
      </c>
      <c r="M1655" s="1" t="s">
        <v>10</v>
      </c>
    </row>
    <row r="1656" spans="1:115" ht="14.25" customHeight="1" x14ac:dyDescent="0.3">
      <c r="A1656" s="1" t="s">
        <v>1798</v>
      </c>
      <c r="B1656" s="1" t="str">
        <f ca="1">IFERROR(__xludf.DUMMYFUNCTION("GOOGLETRANSLATE(A1656, ""en"", ""fr"")"),"Ascenseur")</f>
        <v>Ascenseur</v>
      </c>
      <c r="E1656" s="1" t="s">
        <v>3</v>
      </c>
    </row>
    <row r="1657" spans="1:115" ht="14.25" customHeight="1" x14ac:dyDescent="0.3">
      <c r="A1657" s="1" t="s">
        <v>1799</v>
      </c>
      <c r="B1657" s="1" t="str">
        <f ca="1">IFERROR(__xludf.DUMMYFUNCTION("GOOGLETRANSLATE(A1657, ""en"", ""fr"")"),"elkhills")</f>
        <v>elkhills</v>
      </c>
      <c r="DD1657" s="1" t="s">
        <v>105</v>
      </c>
      <c r="DF1657" s="1" t="s">
        <v>107</v>
      </c>
      <c r="DK1657" s="1" t="s">
        <v>112</v>
      </c>
    </row>
    <row r="1658" spans="1:115" ht="14.25" customHeight="1" x14ac:dyDescent="0.3">
      <c r="A1658" s="1" t="s">
        <v>1800</v>
      </c>
      <c r="B1658" s="1" t="str">
        <f ca="1">IFERROR(__xludf.DUMMYFUNCTION("GOOGLETRANSLATE(A1658, ""en"", ""fr"")"),"EMBARGO")</f>
        <v>EMBARGO</v>
      </c>
      <c r="D1658" s="1" t="s">
        <v>4963</v>
      </c>
    </row>
    <row r="1659" spans="1:115" ht="14.25" customHeight="1" x14ac:dyDescent="0.3">
      <c r="A1659" s="1" t="s">
        <v>1801</v>
      </c>
      <c r="B1659" s="1" t="str">
        <f ca="1">IFERROR(__xludf.DUMMYFUNCTION("GOOGLETRANSLATE(A1659, ""en"", ""fr"")"),"Emballé")</f>
        <v>Emballé</v>
      </c>
      <c r="D1659" s="1" t="s">
        <v>4963</v>
      </c>
    </row>
    <row r="1660" spans="1:115" ht="14.25" customHeight="1" x14ac:dyDescent="0.3">
      <c r="A1660" s="1" t="s">
        <v>1802</v>
      </c>
      <c r="B1660" s="1" t="str">
        <f ca="1">IFERROR(__xludf.DUMMYFUNCTION("GOOGLETRANSLATE(A1660, ""en"", ""fr"")"),"Embargos")</f>
        <v>Embargos</v>
      </c>
      <c r="D1660" s="1" t="s">
        <v>4963</v>
      </c>
    </row>
    <row r="1661" spans="1:115" ht="14.25" customHeight="1" x14ac:dyDescent="0.3">
      <c r="A1661" s="1" t="s">
        <v>1803</v>
      </c>
      <c r="B1661" s="1" t="str">
        <f ca="1">IFERROR(__xludf.DUMMYFUNCTION("GOOGLETRANSLATE(A1661, ""en"", ""fr"")"),"Embarrassé")</f>
        <v>Embarrassé</v>
      </c>
      <c r="D1661" s="1" t="s">
        <v>4963</v>
      </c>
    </row>
    <row r="1662" spans="1:115" ht="14.25" customHeight="1" x14ac:dyDescent="0.3">
      <c r="A1662" s="1" t="s">
        <v>1804</v>
      </c>
      <c r="B1662" s="1" t="str">
        <f ca="1">IFERROR(__xludf.DUMMYFUNCTION("GOOGLETRANSLATE(A1662, ""en"", ""fr"")"),"EMBARRASSER")</f>
        <v>EMBARRASSER</v>
      </c>
      <c r="D1662" s="1" t="s">
        <v>4963</v>
      </c>
    </row>
    <row r="1663" spans="1:115" ht="14.25" customHeight="1" x14ac:dyDescent="0.3">
      <c r="A1663" s="1" t="s">
        <v>1805</v>
      </c>
      <c r="B1663" s="1" t="str">
        <f ca="1">IFERROR(__xludf.DUMMYFUNCTION("GOOGLETRANSLATE(A1663, ""en"", ""fr"")"),"GÊNÉ")</f>
        <v>GÊNÉ</v>
      </c>
      <c r="D1663" s="1" t="s">
        <v>4963</v>
      </c>
    </row>
    <row r="1664" spans="1:115" ht="14.25" customHeight="1" x14ac:dyDescent="0.3">
      <c r="A1664" s="1" t="s">
        <v>1806</v>
      </c>
      <c r="B1664" s="1" t="str">
        <f ca="1">IFERROR(__xludf.DUMMYFUNCTION("GOOGLETRANSLATE(A1664, ""en"", ""fr"")"),"Embarrasser")</f>
        <v>Embarrasser</v>
      </c>
      <c r="D1664" s="1" t="s">
        <v>4963</v>
      </c>
    </row>
    <row r="1665" spans="1:13" ht="14.25" customHeight="1" x14ac:dyDescent="0.3">
      <c r="A1665" s="1" t="s">
        <v>1807</v>
      </c>
      <c r="B1665" s="1" t="str">
        <f ca="1">IFERROR(__xludf.DUMMYFUNCTION("GOOGLETRANSLATE(A1665, ""en"", ""fr"")"),"EMBARRASSANT")</f>
        <v>EMBARRASSANT</v>
      </c>
      <c r="D1665" s="1" t="s">
        <v>4963</v>
      </c>
    </row>
    <row r="1666" spans="1:13" ht="14.25" customHeight="1" x14ac:dyDescent="0.3">
      <c r="A1666" s="1" t="s">
        <v>1808</v>
      </c>
      <c r="B1666" s="1" t="str">
        <f ca="1">IFERROR(__xludf.DUMMYFUNCTION("GOOGLETRANSLATE(A1666, ""en"", ""fr"")"),"EMBARRAS")</f>
        <v>EMBARRAS</v>
      </c>
      <c r="D1666" s="1" t="s">
        <v>4963</v>
      </c>
    </row>
    <row r="1667" spans="1:13" ht="14.25" customHeight="1" x14ac:dyDescent="0.3">
      <c r="A1667" s="1" t="s">
        <v>1809</v>
      </c>
      <c r="B1667" s="1" t="str">
        <f ca="1">IFERROR(__xludf.DUMMYFUNCTION("GOOGLETRANSLATE(A1667, ""en"", ""fr"")"),"Embarras")</f>
        <v>Embarras</v>
      </c>
      <c r="D1667" s="1" t="s">
        <v>4963</v>
      </c>
    </row>
    <row r="1668" spans="1:13" ht="14.25" customHeight="1" x14ac:dyDescent="0.3">
      <c r="A1668" s="1" t="s">
        <v>1810</v>
      </c>
      <c r="B1668" s="1" t="str">
        <f ca="1">IFERROR(__xludf.DUMMYFUNCTION("GOOGLETRANSLATE(A1668, ""en"", ""fr"")"),"DÉTOURNER")</f>
        <v>DÉTOURNER</v>
      </c>
      <c r="D1668" s="1" t="s">
        <v>4963</v>
      </c>
    </row>
    <row r="1669" spans="1:13" ht="14.25" customHeight="1" x14ac:dyDescent="0.3">
      <c r="A1669" s="1" t="s">
        <v>1811</v>
      </c>
      <c r="B1669" s="1" t="str">
        <f ca="1">IFERROR(__xludf.DUMMYFUNCTION("GOOGLETRANSLATE(A1669, ""en"", ""fr"")"),"Détourné")</f>
        <v>Détourné</v>
      </c>
      <c r="D1669" s="1" t="s">
        <v>4963</v>
      </c>
    </row>
    <row r="1670" spans="1:13" ht="14.25" customHeight="1" x14ac:dyDescent="0.3">
      <c r="A1670" s="1" t="s">
        <v>1812</v>
      </c>
      <c r="B1670" s="1" t="str">
        <f ca="1">IFERROR(__xludf.DUMMYFUNCTION("GOOGLETRANSLATE(A1670, ""en"", ""fr"")"),"DÉTOURNEMENT DE FONDS")</f>
        <v>DÉTOURNEMENT DE FONDS</v>
      </c>
      <c r="D1670" s="1" t="s">
        <v>4963</v>
      </c>
    </row>
    <row r="1671" spans="1:13" ht="14.25" customHeight="1" x14ac:dyDescent="0.3">
      <c r="A1671" s="1" t="s">
        <v>1813</v>
      </c>
      <c r="B1671" s="1" t="str">
        <f ca="1">IFERROR(__xludf.DUMMYFUNCTION("GOOGLETRANSLATE(A1671, ""en"", ""fr"")"),"Détourner")</f>
        <v>Détourner</v>
      </c>
      <c r="D1671" s="1" t="s">
        <v>4963</v>
      </c>
    </row>
    <row r="1672" spans="1:13" ht="14.25" customHeight="1" x14ac:dyDescent="0.3">
      <c r="A1672" s="1" t="s">
        <v>1814</v>
      </c>
      <c r="B1672" s="1" t="str">
        <f ca="1">IFERROR(__xludf.DUMMYFUNCTION("GOOGLETRANSLATE(A1672, ""en"", ""fr"")"),"Détournement de détournement")</f>
        <v>Détournement de détournement</v>
      </c>
      <c r="D1672" s="1" t="s">
        <v>4963</v>
      </c>
    </row>
    <row r="1673" spans="1:13" ht="14.25" customHeight="1" x14ac:dyDescent="0.3">
      <c r="A1673" s="1" t="s">
        <v>1815</v>
      </c>
      <c r="B1673" s="1" t="str">
        <f ca="1">IFERROR(__xludf.DUMMYFUNCTION("GOOGLETRANSLATE(A1673, ""en"", ""fr"")"),"Occuples")</f>
        <v>Occuples</v>
      </c>
      <c r="D1673" s="1" t="s">
        <v>4963</v>
      </c>
    </row>
    <row r="1674" spans="1:13" ht="14.25" customHeight="1" x14ac:dyDescent="0.3">
      <c r="A1674" s="1" t="s">
        <v>1816</v>
      </c>
      <c r="B1674" s="1" t="str">
        <f ca="1">IFERROR(__xludf.DUMMYFUNCTION("GOOGLETRANSLATE(A1674, ""en"", ""fr"")"),"Détournement")</f>
        <v>Détournement</v>
      </c>
      <c r="D1674" s="1" t="s">
        <v>4963</v>
      </c>
    </row>
    <row r="1675" spans="1:13" ht="14.25" customHeight="1" x14ac:dyDescent="0.3">
      <c r="A1675" s="1" t="s">
        <v>1817</v>
      </c>
      <c r="B1675" s="1" t="str">
        <f ca="1">IFERROR(__xludf.DUMMYFUNCTION("GOOGLETRANSLATE(A1675, ""en"", ""fr"")"),"Loi sur la stabilisation économique d'urgence")</f>
        <v>Loi sur la stabilisation économique d'urgence</v>
      </c>
      <c r="M1675" s="1" t="s">
        <v>10</v>
      </c>
    </row>
    <row r="1676" spans="1:13" ht="14.25" customHeight="1" x14ac:dyDescent="0.3">
      <c r="A1676" s="1" t="s">
        <v>1818</v>
      </c>
      <c r="B1676" s="1" t="str">
        <f ca="1">IFERROR(__xludf.DUMMYFUNCTION("GOOGLETRANSLATE(A1676, ""en"", ""fr"")"),"Indice des coûts de l'employeur")</f>
        <v>Indice des coûts de l'employeur</v>
      </c>
      <c r="M1676" s="1" t="s">
        <v>10</v>
      </c>
    </row>
    <row r="1677" spans="1:13" ht="14.25" customHeight="1" x14ac:dyDescent="0.3">
      <c r="A1677" s="1" t="s">
        <v>1819</v>
      </c>
      <c r="B1677" s="1" t="str">
        <f ca="1">IFERROR(__xludf.DUMMYFUNCTION("GOOGLETRANSLATE(A1677, ""en"", ""fr"")"),"indice des coûts d'emploi")</f>
        <v>indice des coûts d'emploi</v>
      </c>
      <c r="M1677" s="1" t="s">
        <v>10</v>
      </c>
    </row>
    <row r="1678" spans="1:13" ht="14.25" customHeight="1" x14ac:dyDescent="0.3">
      <c r="A1678" s="1" t="s">
        <v>1820</v>
      </c>
      <c r="B1678" s="1" t="str">
        <f ca="1">IFERROR(__xludf.DUMMYFUNCTION("GOOGLETRANSLATE(A1678, ""en"", ""fr"")"),"rapport d'emploi")</f>
        <v>rapport d'emploi</v>
      </c>
      <c r="M1678" s="1" t="s">
        <v>10</v>
      </c>
    </row>
    <row r="1679" spans="1:13" ht="14.25" customHeight="1" x14ac:dyDescent="0.3">
      <c r="A1679" s="1" t="s">
        <v>1821</v>
      </c>
      <c r="B1679" s="1" t="str">
        <f ca="1">IFERROR(__xludf.DUMMYFUNCTION("GOOGLETRANSLATE(A1679, ""en"", ""fr"")"),"HABILITER")</f>
        <v>HABILITER</v>
      </c>
      <c r="H1679" s="1" t="s">
        <v>4964</v>
      </c>
    </row>
    <row r="1680" spans="1:13" ht="14.25" customHeight="1" x14ac:dyDescent="0.3">
      <c r="A1680" s="1" t="s">
        <v>1822</v>
      </c>
      <c r="B1680" s="1" t="str">
        <f ca="1">IFERROR(__xludf.DUMMYFUNCTION("GOOGLETRANSLATE(A1680, ""en"", ""fr"")"),"Habilité")</f>
        <v>Habilité</v>
      </c>
      <c r="H1680" s="1" t="s">
        <v>4964</v>
      </c>
    </row>
    <row r="1681" spans="1:8" ht="14.25" customHeight="1" x14ac:dyDescent="0.3">
      <c r="A1681" s="1" t="s">
        <v>1823</v>
      </c>
      <c r="B1681" s="1" t="str">
        <f ca="1">IFERROR(__xludf.DUMMYFUNCTION("GOOGLETRANSLATE(A1681, ""en"", ""fr"")"),"Habilitant")</f>
        <v>Habilitant</v>
      </c>
      <c r="H1681" s="1" t="s">
        <v>4964</v>
      </c>
    </row>
    <row r="1682" spans="1:8" ht="14.25" customHeight="1" x14ac:dyDescent="0.3">
      <c r="A1682" s="1" t="s">
        <v>1824</v>
      </c>
      <c r="B1682" s="1" t="str">
        <f ca="1">IFERROR(__xludf.DUMMYFUNCTION("GOOGLETRANSLATE(A1682, ""en"", ""fr"")"),"Habiliter")</f>
        <v>Habiliter</v>
      </c>
      <c r="H1682" s="1" t="s">
        <v>4964</v>
      </c>
    </row>
    <row r="1683" spans="1:8" ht="14.25" customHeight="1" x14ac:dyDescent="0.3">
      <c r="A1683" s="1" t="s">
        <v>1825</v>
      </c>
      <c r="B1683" s="1" t="str">
        <f ca="1">IFERROR(__xludf.DUMMYFUNCTION("GOOGLETRANSLATE(A1683, ""en"", ""fr"")"),"Émulsifiant")</f>
        <v>Émulsifiant</v>
      </c>
      <c r="E1683" s="1" t="s">
        <v>3</v>
      </c>
    </row>
    <row r="1684" spans="1:8" ht="14.25" customHeight="1" x14ac:dyDescent="0.3">
      <c r="A1684" s="1" t="s">
        <v>1826</v>
      </c>
      <c r="B1684" s="1" t="str">
        <f ca="1">IFERROR(__xludf.DUMMYFUNCTION("GOOGLETRANSLATE(A1684, ""en"", ""fr"")"),"Émulsion")</f>
        <v>Émulsion</v>
      </c>
      <c r="E1684" s="1" t="s">
        <v>3</v>
      </c>
    </row>
    <row r="1685" spans="1:8" ht="14.25" customHeight="1" x14ac:dyDescent="0.3">
      <c r="A1685" s="1" t="s">
        <v>1827</v>
      </c>
      <c r="B1685" s="1" t="str">
        <f ca="1">IFERROR(__xludf.DUMMYFUNCTION("GOOGLETRANSLATE(A1685, ""en"", ""fr"")"),"Émulsion")</f>
        <v>Émulsion</v>
      </c>
      <c r="E1685" s="1" t="s">
        <v>3</v>
      </c>
    </row>
    <row r="1686" spans="1:8" ht="14.25" customHeight="1" x14ac:dyDescent="0.3">
      <c r="A1686" s="1" t="s">
        <v>1828</v>
      </c>
      <c r="B1686" s="1" t="str">
        <f ca="1">IFERROR(__xludf.DUMMYFUNCTION("GOOGLETRANSLATE(A1686, ""en"", ""fr"")"),"ACTIVER")</f>
        <v>ACTIVER</v>
      </c>
      <c r="H1686" s="1" t="s">
        <v>4964</v>
      </c>
    </row>
    <row r="1687" spans="1:8" ht="14.25" customHeight="1" x14ac:dyDescent="0.3">
      <c r="A1687" s="1" t="s">
        <v>1829</v>
      </c>
      <c r="B1687" s="1" t="str">
        <f ca="1">IFERROR(__xludf.DUMMYFUNCTION("GOOGLETRANSLATE(A1687, ""en"", ""fr"")"),"ACTIVÉ")</f>
        <v>ACTIVÉ</v>
      </c>
      <c r="H1687" s="1" t="s">
        <v>4964</v>
      </c>
    </row>
    <row r="1688" spans="1:8" ht="14.25" customHeight="1" x14ac:dyDescent="0.3">
      <c r="A1688" s="1" t="s">
        <v>1830</v>
      </c>
      <c r="B1688" s="1" t="str">
        <f ca="1">IFERROR(__xludf.DUMMYFUNCTION("GOOGLETRANSLATE(A1688, ""en"", ""fr"")"),"Actif")</f>
        <v>Actif</v>
      </c>
      <c r="H1688" s="1" t="s">
        <v>4964</v>
      </c>
    </row>
    <row r="1689" spans="1:8" ht="14.25" customHeight="1" x14ac:dyDescent="0.3">
      <c r="A1689" s="1" t="s">
        <v>1831</v>
      </c>
      <c r="B1689" s="1" t="str">
        <f ca="1">IFERROR(__xludf.DUMMYFUNCTION("GOOGLETRANSLATE(A1689, ""en"", ""fr"")"),"Habilitant")</f>
        <v>Habilitant</v>
      </c>
      <c r="H1689" s="1" t="s">
        <v>4964</v>
      </c>
    </row>
    <row r="1690" spans="1:8" ht="14.25" customHeight="1" x14ac:dyDescent="0.3">
      <c r="A1690" s="1" t="s">
        <v>1832</v>
      </c>
      <c r="B1690" s="1" t="str">
        <f ca="1">IFERROR(__xludf.DUMMYFUNCTION("GOOGLETRANSLATE(A1690, ""en"", ""fr"")"),"Encouragé")</f>
        <v>Encouragé</v>
      </c>
      <c r="H1690" s="1" t="s">
        <v>4964</v>
      </c>
    </row>
    <row r="1691" spans="1:8" ht="14.25" customHeight="1" x14ac:dyDescent="0.3">
      <c r="A1691" s="1" t="s">
        <v>1833</v>
      </c>
      <c r="B1691" s="1" t="str">
        <f ca="1">IFERROR(__xludf.DUMMYFUNCTION("GOOGLETRANSLATE(A1691, ""en"", ""fr"")"),"ENCOURAGEMENT")</f>
        <v>ENCOURAGEMENT</v>
      </c>
      <c r="H1691" s="1" t="s">
        <v>4964</v>
      </c>
    </row>
    <row r="1692" spans="1:8" ht="14.25" customHeight="1" x14ac:dyDescent="0.3">
      <c r="A1692" s="1" t="s">
        <v>1834</v>
      </c>
      <c r="B1692" s="1" t="str">
        <f ca="1">IFERROR(__xludf.DUMMYFUNCTION("GOOGLETRANSLATE(A1692, ""en"", ""fr"")"),"Encourager")</f>
        <v>Encourager</v>
      </c>
      <c r="H1692" s="1" t="s">
        <v>4964</v>
      </c>
    </row>
    <row r="1693" spans="1:8" ht="14.25" customHeight="1" x14ac:dyDescent="0.3">
      <c r="A1693" s="1" t="s">
        <v>1835</v>
      </c>
      <c r="B1693" s="1" t="str">
        <f ca="1">IFERROR(__xludf.DUMMYFUNCTION("GOOGLETRANSLATE(A1693, ""en"", ""fr"")"),"ENCOURAGEANT")</f>
        <v>ENCOURAGEANT</v>
      </c>
      <c r="H1693" s="1" t="s">
        <v>4964</v>
      </c>
    </row>
    <row r="1694" spans="1:8" ht="14.25" customHeight="1" x14ac:dyDescent="0.3">
      <c r="A1694" s="1" t="s">
        <v>1836</v>
      </c>
      <c r="B1694" s="1" t="str">
        <f ca="1">IFERROR(__xludf.DUMMYFUNCTION("GOOGLETRANSLATE(A1694, ""en"", ""fr"")"),"EMPIÉTER")</f>
        <v>EMPIÉTER</v>
      </c>
      <c r="D1694" s="1" t="s">
        <v>4963</v>
      </c>
    </row>
    <row r="1695" spans="1:8" ht="14.25" customHeight="1" x14ac:dyDescent="0.3">
      <c r="A1695" s="1" t="s">
        <v>1837</v>
      </c>
      <c r="B1695" s="1" t="str">
        <f ca="1">IFERROR(__xludf.DUMMYFUNCTION("GOOGLETRANSLATE(A1695, ""en"", ""fr"")"),"Empié")</f>
        <v>Empié</v>
      </c>
      <c r="D1695" s="1" t="s">
        <v>4963</v>
      </c>
    </row>
    <row r="1696" spans="1:8" ht="14.25" customHeight="1" x14ac:dyDescent="0.3">
      <c r="A1696" s="1" t="s">
        <v>1838</v>
      </c>
      <c r="B1696" s="1" t="str">
        <f ca="1">IFERROR(__xludf.DUMMYFUNCTION("GOOGLETRANSLATE(A1696, ""en"", ""fr"")"),"Empiéter")</f>
        <v>Empiéter</v>
      </c>
      <c r="D1696" s="1" t="s">
        <v>4963</v>
      </c>
    </row>
    <row r="1697" spans="1:13" ht="14.25" customHeight="1" x14ac:dyDescent="0.3">
      <c r="A1697" s="1" t="s">
        <v>1839</v>
      </c>
      <c r="B1697" s="1" t="str">
        <f ca="1">IFERROR(__xludf.DUMMYFUNCTION("GOOGLETRANSLATE(A1697, ""en"", ""fr"")"),"Envahissant")</f>
        <v>Envahissant</v>
      </c>
      <c r="D1697" s="1" t="s">
        <v>4963</v>
      </c>
    </row>
    <row r="1698" spans="1:13" ht="14.25" customHeight="1" x14ac:dyDescent="0.3">
      <c r="A1698" s="1" t="s">
        <v>1840</v>
      </c>
      <c r="B1698" s="1" t="str">
        <f ca="1">IFERROR(__xludf.DUMMYFUNCTION("GOOGLETRANSLATE(A1698, ""en"", ""fr"")"),"EMPIÈTEMENT")</f>
        <v>EMPIÈTEMENT</v>
      </c>
      <c r="D1698" s="1" t="s">
        <v>4963</v>
      </c>
    </row>
    <row r="1699" spans="1:13" ht="14.25" customHeight="1" x14ac:dyDescent="0.3">
      <c r="A1699" s="1" t="s">
        <v>1841</v>
      </c>
      <c r="B1699" s="1" t="str">
        <f ca="1">IFERROR(__xludf.DUMMYFUNCTION("GOOGLETRANSLATE(A1699, ""en"", ""fr"")"),"Empiètements")</f>
        <v>Empiètements</v>
      </c>
      <c r="D1699" s="1" t="s">
        <v>4963</v>
      </c>
    </row>
    <row r="1700" spans="1:13" ht="14.25" customHeight="1" x14ac:dyDescent="0.3">
      <c r="A1700" s="1" t="s">
        <v>1842</v>
      </c>
      <c r="B1700" s="1" t="str">
        <f ca="1">IFERROR(__xludf.DUMMYFUNCTION("GOOGLETRANSLATE(A1700, ""en"", ""fr"")"),"ENCOMBRER")</f>
        <v>ENCOMBRER</v>
      </c>
      <c r="D1700" s="1" t="s">
        <v>4963</v>
      </c>
    </row>
    <row r="1701" spans="1:13" ht="14.25" customHeight="1" x14ac:dyDescent="0.3">
      <c r="A1701" s="1" t="s">
        <v>1843</v>
      </c>
      <c r="B1701" s="1" t="str">
        <f ca="1">IFERROR(__xludf.DUMMYFUNCTION("GOOGLETRANSLATE(A1701, ""en"", ""fr"")"),"ENCOMBRÉ")</f>
        <v>ENCOMBRÉ</v>
      </c>
      <c r="D1701" s="1" t="s">
        <v>4963</v>
      </c>
    </row>
    <row r="1702" spans="1:13" ht="14.25" customHeight="1" x14ac:dyDescent="0.3">
      <c r="A1702" s="1" t="s">
        <v>1844</v>
      </c>
      <c r="B1702" s="1" t="str">
        <f ca="1">IFERROR(__xludf.DUMMYFUNCTION("GOOGLETRANSLATE(A1702, ""en"", ""fr"")"),"Encombrant")</f>
        <v>Encombrant</v>
      </c>
      <c r="D1702" s="1" t="s">
        <v>4963</v>
      </c>
    </row>
    <row r="1703" spans="1:13" ht="14.25" customHeight="1" x14ac:dyDescent="0.3">
      <c r="A1703" s="1" t="s">
        <v>1845</v>
      </c>
      <c r="B1703" s="1" t="str">
        <f ca="1">IFERROR(__xludf.DUMMYFUNCTION("GOOGLETRANSLATE(A1703, ""en"", ""fr"")"),"Camenières")</f>
        <v>Camenières</v>
      </c>
      <c r="D1703" s="1" t="s">
        <v>4963</v>
      </c>
    </row>
    <row r="1704" spans="1:13" ht="14.25" customHeight="1" x14ac:dyDescent="0.3">
      <c r="A1704" s="1" t="s">
        <v>1846</v>
      </c>
      <c r="B1704" s="1" t="str">
        <f ca="1">IFERROR(__xludf.DUMMYFUNCTION("GOOGLETRANSLATE(A1704, ""en"", ""fr"")"),"Fascination")</f>
        <v>Fascination</v>
      </c>
      <c r="D1704" s="1" t="s">
        <v>4963</v>
      </c>
    </row>
    <row r="1705" spans="1:13" ht="14.25" customHeight="1" x14ac:dyDescent="0.3">
      <c r="A1705" s="1" t="s">
        <v>1847</v>
      </c>
      <c r="B1705" s="1" t="str">
        <f ca="1">IFERROR(__xludf.DUMMYFUNCTION("GOOGLETRANSLATE(A1705, ""en"", ""fr"")"),"Fusillades")</f>
        <v>Fusillades</v>
      </c>
      <c r="D1705" s="1" t="s">
        <v>4963</v>
      </c>
    </row>
    <row r="1706" spans="1:13" ht="14.25" customHeight="1" x14ac:dyDescent="0.3">
      <c r="A1706" s="1" t="s">
        <v>1848</v>
      </c>
      <c r="B1706" s="1" t="str">
        <f ca="1">IFERROR(__xludf.DUMMYFUNCTION("GOOGLETRANSLATE(A1706, ""en"", ""fr"")"),"Point final")</f>
        <v>Point final</v>
      </c>
      <c r="E1706" s="1" t="s">
        <v>3</v>
      </c>
    </row>
    <row r="1707" spans="1:13" ht="14.25" customHeight="1" x14ac:dyDescent="0.3">
      <c r="A1707" s="1" t="s">
        <v>1849</v>
      </c>
      <c r="B1707" s="1" t="str">
        <f ca="1">IFERROR(__xludf.DUMMYFUNCTION("GOOGLETRANSLATE(A1707, ""en"", ""fr"")"),"METTRE EN DANGER")</f>
        <v>METTRE EN DANGER</v>
      </c>
      <c r="D1707" s="1" t="s">
        <v>4963</v>
      </c>
    </row>
    <row r="1708" spans="1:13" ht="14.25" customHeight="1" x14ac:dyDescent="0.3">
      <c r="A1708" s="1" t="s">
        <v>1850</v>
      </c>
      <c r="B1708" s="1" t="str">
        <f ca="1">IFERROR(__xludf.DUMMYFUNCTION("GOOGLETRANSLATE(A1708, ""en"", ""fr"")"),"EN VOIE DE DISPARITION")</f>
        <v>EN VOIE DE DISPARITION</v>
      </c>
      <c r="D1708" s="1" t="s">
        <v>4963</v>
      </c>
    </row>
    <row r="1709" spans="1:13" ht="14.25" customHeight="1" x14ac:dyDescent="0.3">
      <c r="A1709" s="1" t="s">
        <v>1851</v>
      </c>
      <c r="B1709" s="1" t="str">
        <f ca="1">IFERROR(__xludf.DUMMYFUNCTION("GOOGLETRANSLATE(A1709, ""en"", ""fr"")"),"En danger")</f>
        <v>En danger</v>
      </c>
      <c r="D1709" s="1" t="s">
        <v>4963</v>
      </c>
    </row>
    <row r="1710" spans="1:13" ht="14.25" customHeight="1" x14ac:dyDescent="0.3">
      <c r="A1710" s="1" t="s">
        <v>1852</v>
      </c>
      <c r="B1710" s="1" t="str">
        <f ca="1">IFERROR(__xludf.DUMMYFUNCTION("GOOGLETRANSLATE(A1710, ""en"", ""fr"")"),"Mise en danger")</f>
        <v>Mise en danger</v>
      </c>
      <c r="D1710" s="1" t="s">
        <v>4963</v>
      </c>
    </row>
    <row r="1711" spans="1:13" ht="14.25" customHeight="1" x14ac:dyDescent="0.3">
      <c r="A1711" s="1" t="s">
        <v>1853</v>
      </c>
      <c r="B1711" s="1" t="str">
        <f ca="1">IFERROR(__xludf.DUMMYFUNCTION("GOOGLETRANSLATE(A1711, ""en"", ""fr"")"),"Mettre en danger")</f>
        <v>Mettre en danger</v>
      </c>
      <c r="D1711" s="1" t="s">
        <v>4963</v>
      </c>
    </row>
    <row r="1712" spans="1:13" ht="14.25" customHeight="1" x14ac:dyDescent="0.3">
      <c r="A1712" s="1" t="s">
        <v>1854</v>
      </c>
      <c r="B1712" s="1" t="str">
        <f ca="1">IFERROR(__xludf.DUMMYFUNCTION("GOOGLETRANSLATE(A1712, ""en"", ""fr"")"),"stimulus énergisant")</f>
        <v>stimulus énergisant</v>
      </c>
      <c r="M1712" s="1" t="s">
        <v>10</v>
      </c>
    </row>
    <row r="1713" spans="1:124" ht="14.25" customHeight="1" x14ac:dyDescent="0.3">
      <c r="A1713" s="1" t="s">
        <v>1855</v>
      </c>
      <c r="B1713" s="1" t="str">
        <f ca="1">IFERROR(__xludf.DUMMYFUNCTION("GOOGLETRANSLATE(A1713, ""en"", ""fr"")"),"Enfield")</f>
        <v>Enfield</v>
      </c>
      <c r="R1713" s="1" t="s">
        <v>15</v>
      </c>
      <c r="CS1713" s="1" t="s">
        <v>94</v>
      </c>
    </row>
    <row r="1714" spans="1:124" ht="14.25" customHeight="1" x14ac:dyDescent="0.3">
      <c r="A1714" s="1" t="s">
        <v>1856</v>
      </c>
      <c r="B1714" s="1" t="str">
        <f ca="1">IFERROR(__xludf.DUMMYFUNCTION("GOOGLETRANSLATE(A1714, ""en"", ""fr"")"),"AMÉLIORER")</f>
        <v>AMÉLIORER</v>
      </c>
      <c r="H1714" s="1" t="s">
        <v>4964</v>
      </c>
    </row>
    <row r="1715" spans="1:124" ht="14.25" customHeight="1" x14ac:dyDescent="0.3">
      <c r="A1715" s="1" t="s">
        <v>1857</v>
      </c>
      <c r="B1715" s="1" t="str">
        <f ca="1">IFERROR(__xludf.DUMMYFUNCTION("GOOGLETRANSLATE(A1715, ""en"", ""fr"")"),"AMÉLIORÉ")</f>
        <v>AMÉLIORÉ</v>
      </c>
      <c r="H1715" s="1" t="s">
        <v>4964</v>
      </c>
    </row>
    <row r="1716" spans="1:124" ht="14.25" customHeight="1" x14ac:dyDescent="0.3">
      <c r="A1716" s="1" t="s">
        <v>1858</v>
      </c>
      <c r="B1716" s="1" t="str">
        <f ca="1">IFERROR(__xludf.DUMMYFUNCTION("GOOGLETRANSLATE(A1716, ""en"", ""fr"")"),"Portée améliorée")</f>
        <v>Portée améliorée</v>
      </c>
      <c r="E1716" s="1" t="s">
        <v>3</v>
      </c>
    </row>
    <row r="1717" spans="1:124" ht="14.25" customHeight="1" x14ac:dyDescent="0.3">
      <c r="A1717" s="1" t="s">
        <v>1859</v>
      </c>
      <c r="B1717" s="1" t="str">
        <f ca="1">IFERROR(__xludf.DUMMYFUNCTION("GOOGLETRANSLATE(A1717, ""en"", ""fr"")"),"Récupération améliorée")</f>
        <v>Récupération améliorée</v>
      </c>
      <c r="E1717" s="1" t="s">
        <v>3</v>
      </c>
    </row>
    <row r="1718" spans="1:124" ht="14.25" customHeight="1" x14ac:dyDescent="0.3">
      <c r="A1718" s="1" t="s">
        <v>1860</v>
      </c>
      <c r="B1718" s="1" t="str">
        <f ca="1">IFERROR(__xludf.DUMMYFUNCTION("GOOGLETRANSLATE(A1718, ""en"", ""fr"")"),"RENFORCEMENT")</f>
        <v>RENFORCEMENT</v>
      </c>
      <c r="H1718" s="1" t="s">
        <v>4964</v>
      </c>
    </row>
    <row r="1719" spans="1:124" ht="14.25" customHeight="1" x14ac:dyDescent="0.3">
      <c r="A1719" s="1" t="s">
        <v>1861</v>
      </c>
      <c r="B1719" s="1" t="str">
        <f ca="1">IFERROR(__xludf.DUMMYFUNCTION("GOOGLETRANSLATE(A1719, ""en"", ""fr"")"),"Améliorations")</f>
        <v>Améliorations</v>
      </c>
      <c r="H1719" s="1" t="s">
        <v>4964</v>
      </c>
    </row>
    <row r="1720" spans="1:124" ht="14.25" customHeight="1" x14ac:dyDescent="0.3">
      <c r="A1720" s="1" t="s">
        <v>1862</v>
      </c>
      <c r="B1720" s="1" t="str">
        <f ca="1">IFERROR(__xludf.DUMMYFUNCTION("GOOGLETRANSLATE(A1720, ""en"", ""fr"")"),"Renforcer")</f>
        <v>Renforcer</v>
      </c>
      <c r="H1720" s="1" t="s">
        <v>4964</v>
      </c>
    </row>
    <row r="1721" spans="1:124" ht="14.25" customHeight="1" x14ac:dyDescent="0.3">
      <c r="A1721" s="1" t="s">
        <v>1863</v>
      </c>
      <c r="B1721" s="1" t="str">
        <f ca="1">IFERROR(__xludf.DUMMYFUNCTION("GOOGLETRANSLATE(A1721, ""en"", ""fr"")"),"Renforcement")</f>
        <v>Renforcement</v>
      </c>
      <c r="H1721" s="1" t="s">
        <v>4964</v>
      </c>
    </row>
    <row r="1722" spans="1:124" ht="14.25" customHeight="1" x14ac:dyDescent="0.3">
      <c r="A1722" s="1" t="s">
        <v>1864</v>
      </c>
      <c r="B1722" s="1" t="str">
        <f ca="1">IFERROR(__xludf.DUMMYFUNCTION("GOOGLETRANSLATE(A1722, ""en"", ""fr"")"),"Eni")</f>
        <v>Eni</v>
      </c>
      <c r="C1722" s="1" t="s">
        <v>2</v>
      </c>
      <c r="CH1722" s="1" t="s">
        <v>83</v>
      </c>
      <c r="DT1722" s="1" t="s">
        <v>121</v>
      </c>
    </row>
    <row r="1723" spans="1:124" ht="14.25" customHeight="1" x14ac:dyDescent="0.3">
      <c r="A1723" s="1" t="s">
        <v>1865</v>
      </c>
      <c r="B1723" s="1" t="str">
        <f ca="1">IFERROR(__xludf.DUMMYFUNCTION("GOOGLETRANSLATE(A1723, ""en"", ""fr"")"),"Eni Libye")</f>
        <v>Eni Libye</v>
      </c>
      <c r="C1723" s="1" t="s">
        <v>2</v>
      </c>
      <c r="CW1723" s="1" t="s">
        <v>98</v>
      </c>
      <c r="DT1723" s="1" t="s">
        <v>121</v>
      </c>
    </row>
    <row r="1724" spans="1:124" ht="14.25" customHeight="1" x14ac:dyDescent="0.3">
      <c r="A1724" s="1" t="s">
        <v>1866</v>
      </c>
      <c r="B1724" s="1" t="str">
        <f ca="1">IFERROR(__xludf.DUMMYFUNCTION("GOOGLETRANSLATE(A1724, ""en"", ""fr"")"),"ENJOINDRE")</f>
        <v>ENJOINDRE</v>
      </c>
      <c r="D1724" s="1" t="s">
        <v>4963</v>
      </c>
    </row>
    <row r="1725" spans="1:124" ht="14.25" customHeight="1" x14ac:dyDescent="0.3">
      <c r="A1725" s="1" t="s">
        <v>1867</v>
      </c>
      <c r="B1725" s="1" t="str">
        <f ca="1">IFERROR(__xludf.DUMMYFUNCTION("GOOGLETRANSLATE(A1725, ""en"", ""fr"")"),"Enjoint")</f>
        <v>Enjoint</v>
      </c>
      <c r="D1725" s="1" t="s">
        <v>4963</v>
      </c>
    </row>
    <row r="1726" spans="1:124" ht="14.25" customHeight="1" x14ac:dyDescent="0.3">
      <c r="A1726" s="1" t="s">
        <v>1868</v>
      </c>
      <c r="B1726" s="1" t="str">
        <f ca="1">IFERROR(__xludf.DUMMYFUNCTION("GOOGLETRANSLATE(A1726, ""en"", ""fr"")"),"Enjolissant")</f>
        <v>Enjolissant</v>
      </c>
      <c r="D1726" s="1" t="s">
        <v>4963</v>
      </c>
    </row>
    <row r="1727" spans="1:124" ht="14.25" customHeight="1" x14ac:dyDescent="0.3">
      <c r="A1727" s="1" t="s">
        <v>1869</v>
      </c>
      <c r="B1727" s="1" t="str">
        <f ca="1">IFERROR(__xludf.DUMMYFUNCTION("GOOGLETRANSLATE(A1727, ""en"", ""fr"")"),"Enjoins")</f>
        <v>Enjoins</v>
      </c>
      <c r="D1727" s="1" t="s">
        <v>4963</v>
      </c>
    </row>
    <row r="1728" spans="1:124" ht="14.25" customHeight="1" x14ac:dyDescent="0.3">
      <c r="A1728" s="1" t="s">
        <v>1870</v>
      </c>
      <c r="B1728" s="1" t="str">
        <f ca="1">IFERROR(__xludf.DUMMYFUNCTION("GOOGLETRANSLATE(A1728, ""en"", ""fr"")"),"APPRÉCIER")</f>
        <v>APPRÉCIER</v>
      </c>
      <c r="H1728" s="1" t="s">
        <v>4964</v>
      </c>
    </row>
    <row r="1729" spans="1:96" ht="14.25" customHeight="1" x14ac:dyDescent="0.3">
      <c r="A1729" s="1" t="s">
        <v>1871</v>
      </c>
      <c r="B1729" s="1" t="str">
        <f ca="1">IFERROR(__xludf.DUMMYFUNCTION("GOOGLETRANSLATE(A1729, ""en"", ""fr"")"),"AGRÉABLE")</f>
        <v>AGRÉABLE</v>
      </c>
      <c r="H1729" s="1" t="s">
        <v>4964</v>
      </c>
    </row>
    <row r="1730" spans="1:96" ht="14.25" customHeight="1" x14ac:dyDescent="0.3">
      <c r="A1730" s="1" t="s">
        <v>1872</v>
      </c>
      <c r="B1730" s="1" t="str">
        <f ca="1">IFERROR(__xludf.DUMMYFUNCTION("GOOGLETRANSLATE(A1730, ""en"", ""fr"")"),"De manière agréable")</f>
        <v>De manière agréable</v>
      </c>
      <c r="H1730" s="1" t="s">
        <v>4964</v>
      </c>
    </row>
    <row r="1731" spans="1:96" ht="14.25" customHeight="1" x14ac:dyDescent="0.3">
      <c r="A1731" s="1" t="s">
        <v>1873</v>
      </c>
      <c r="B1731" s="1" t="str">
        <f ca="1">IFERROR(__xludf.DUMMYFUNCTION("GOOGLETRANSLATE(A1731, ""en"", ""fr"")"),"Apprécié")</f>
        <v>Apprécié</v>
      </c>
      <c r="H1731" s="1" t="s">
        <v>4964</v>
      </c>
    </row>
    <row r="1732" spans="1:96" ht="14.25" customHeight="1" x14ac:dyDescent="0.3">
      <c r="A1732" s="1" t="s">
        <v>1874</v>
      </c>
      <c r="B1732" s="1" t="str">
        <f ca="1">IFERROR(__xludf.DUMMYFUNCTION("GOOGLETRANSLATE(A1732, ""en"", ""fr"")"),"Profit")</f>
        <v>Profit</v>
      </c>
      <c r="H1732" s="1" t="s">
        <v>4964</v>
      </c>
    </row>
    <row r="1733" spans="1:96" ht="14.25" customHeight="1" x14ac:dyDescent="0.3">
      <c r="A1733" s="1" t="s">
        <v>1875</v>
      </c>
      <c r="B1733" s="1" t="str">
        <f ca="1">IFERROR(__xludf.DUMMYFUNCTION("GOOGLETRANSLATE(A1733, ""en"", ""fr"")"),"JOUISSANCE")</f>
        <v>JOUISSANCE</v>
      </c>
      <c r="H1733" s="1" t="s">
        <v>4964</v>
      </c>
    </row>
    <row r="1734" spans="1:96" ht="14.25" customHeight="1" x14ac:dyDescent="0.3">
      <c r="A1734" s="1" t="s">
        <v>1876</v>
      </c>
      <c r="B1734" s="1" t="str">
        <f ca="1">IFERROR(__xludf.DUMMYFUNCTION("GOOGLETRANSLATE(A1734, ""en"", ""fr"")"),"Profiter")</f>
        <v>Profiter</v>
      </c>
      <c r="H1734" s="1" t="s">
        <v>4964</v>
      </c>
    </row>
    <row r="1735" spans="1:96" ht="14.25" customHeight="1" x14ac:dyDescent="0.3">
      <c r="A1735" s="1" t="s">
        <v>1877</v>
      </c>
      <c r="B1735" s="1" t="str">
        <f ca="1">IFERROR(__xludf.DUMMYFUNCTION("GOOGLETRANSLATE(A1735, ""en"", ""fr"")"),"ENTHOUSIASME")</f>
        <v>ENTHOUSIASME</v>
      </c>
      <c r="H1735" s="1" t="s">
        <v>4964</v>
      </c>
    </row>
    <row r="1736" spans="1:96" ht="14.25" customHeight="1" x14ac:dyDescent="0.3">
      <c r="A1736" s="1" t="s">
        <v>1878</v>
      </c>
      <c r="B1736" s="1" t="str">
        <f ca="1">IFERROR(__xludf.DUMMYFUNCTION("GOOGLETRANSLATE(A1736, ""en"", ""fr"")"),"ENTHOUSIASTE")</f>
        <v>ENTHOUSIASTE</v>
      </c>
      <c r="H1736" s="1" t="s">
        <v>4964</v>
      </c>
    </row>
    <row r="1737" spans="1:96" ht="14.25" customHeight="1" x14ac:dyDescent="0.3">
      <c r="A1737" s="1" t="s">
        <v>1879</v>
      </c>
      <c r="B1737" s="1" t="str">
        <f ca="1">IFERROR(__xludf.DUMMYFUNCTION("GOOGLETRANSLATE(A1737, ""en"", ""fr"")"),"Enthousiaste")</f>
        <v>Enthousiaste</v>
      </c>
      <c r="H1737" s="1" t="s">
        <v>4964</v>
      </c>
    </row>
    <row r="1738" spans="1:96" ht="14.25" customHeight="1" x14ac:dyDescent="0.3">
      <c r="A1738" s="1" t="s">
        <v>1880</v>
      </c>
      <c r="B1738" s="1" t="str">
        <f ca="1">IFERROR(__xludf.DUMMYFUNCTION("GOOGLETRANSLATE(A1738, ""en"", ""fr"")"),"barrière d'entrée")</f>
        <v>barrière d'entrée</v>
      </c>
      <c r="M1738" s="1" t="s">
        <v>10</v>
      </c>
    </row>
    <row r="1739" spans="1:96" ht="14.25" customHeight="1" x14ac:dyDescent="0.3">
      <c r="A1739" s="1" t="s">
        <v>1881</v>
      </c>
      <c r="B1739" s="1" t="str">
        <f ca="1">IFERROR(__xludf.DUMMYFUNCTION("GOOGLETRANSLATE(A1739, ""en"", ""fr"")"),"EOQ")</f>
        <v>EOQ</v>
      </c>
      <c r="M1739" s="1" t="s">
        <v>10</v>
      </c>
    </row>
    <row r="1740" spans="1:96" ht="14.25" customHeight="1" x14ac:dyDescent="0.3">
      <c r="A1740" s="1" t="s">
        <v>1882</v>
      </c>
      <c r="B1740" s="1" t="str">
        <f ca="1">IFERROR(__xludf.DUMMYFUNCTION("GOOGLETRANSLATE(A1740, ""en"", ""fr"")"),"EPS")</f>
        <v>EPS</v>
      </c>
      <c r="CR1740" s="1" t="s">
        <v>93</v>
      </c>
    </row>
    <row r="1741" spans="1:96" ht="14.25" customHeight="1" x14ac:dyDescent="0.3">
      <c r="A1741" s="1" t="s">
        <v>1883</v>
      </c>
      <c r="B1741" s="1" t="str">
        <f ca="1">IFERROR(__xludf.DUMMYFUNCTION("GOOGLETRANSLATE(A1741, ""en"", ""fr"")"),"équilibre")</f>
        <v>équilibre</v>
      </c>
      <c r="M1741" s="1" t="s">
        <v>10</v>
      </c>
    </row>
    <row r="1742" spans="1:96" ht="14.25" customHeight="1" x14ac:dyDescent="0.3">
      <c r="A1742" s="1" t="s">
        <v>1884</v>
      </c>
      <c r="B1742" s="1" t="str">
        <f ca="1">IFERROR(__xludf.DUMMYFUNCTION("GOOGLETRANSLATE(A1742, ""en"", ""fr"")"),"prix d'équilibre")</f>
        <v>prix d'équilibre</v>
      </c>
      <c r="M1742" s="1" t="s">
        <v>10</v>
      </c>
    </row>
    <row r="1743" spans="1:96" ht="14.25" customHeight="1" x14ac:dyDescent="0.3">
      <c r="A1743" s="1" t="s">
        <v>1885</v>
      </c>
      <c r="B1743" s="1" t="str">
        <f ca="1">IFERROR(__xludf.DUMMYFUNCTION("GOOGLETRANSLATE(A1743, ""en"", ""fr"")"),"quantité d'équilibre")</f>
        <v>quantité d'équilibre</v>
      </c>
      <c r="M1743" s="1" t="s">
        <v>10</v>
      </c>
    </row>
    <row r="1744" spans="1:96" ht="14.25" customHeight="1" x14ac:dyDescent="0.3">
      <c r="A1744" s="1" t="s">
        <v>1886</v>
      </c>
      <c r="B1744" s="1" t="str">
        <f ca="1">IFERROR(__xludf.DUMMYFUNCTION("GOOGLETRANSLATE(A1744, ""en"", ""fr"")"),"actions")</f>
        <v>actions</v>
      </c>
      <c r="CR1744" s="1" t="s">
        <v>93</v>
      </c>
    </row>
    <row r="1745" spans="1:97" ht="14.25" customHeight="1" x14ac:dyDescent="0.3">
      <c r="A1745" s="1" t="s">
        <v>1887</v>
      </c>
      <c r="B1745" s="1" t="str">
        <f ca="1">IFERROR(__xludf.DUMMYFUNCTION("GOOGLETRANSLATE(A1745, ""en"", ""fr"")"),"équité")</f>
        <v>équité</v>
      </c>
      <c r="CR1745" s="1" t="s">
        <v>93</v>
      </c>
    </row>
    <row r="1746" spans="1:97" ht="14.25" customHeight="1" x14ac:dyDescent="0.3">
      <c r="A1746" s="1" t="s">
        <v>1888</v>
      </c>
      <c r="B1746" s="1" t="str">
        <f ca="1">IFERROR(__xludf.DUMMYFUNCTION("GOOGLETRANSLATE(A1746, ""en"", ""fr"")"),"capitaux propres")</f>
        <v>capitaux propres</v>
      </c>
      <c r="CR1746" s="1" t="s">
        <v>93</v>
      </c>
    </row>
    <row r="1747" spans="1:97" ht="14.25" customHeight="1" x14ac:dyDescent="0.3">
      <c r="A1747" s="1" t="s">
        <v>1889</v>
      </c>
      <c r="B1747" s="1" t="str">
        <f ca="1">IFERROR(__xludf.DUMMYFUNCTION("GOOGLETRANSLATE(A1747, ""en"", ""fr"")"),"injection de capitaux propres")</f>
        <v>injection de capitaux propres</v>
      </c>
      <c r="M1747" s="1" t="s">
        <v>10</v>
      </c>
    </row>
    <row r="1748" spans="1:97" ht="14.25" customHeight="1" x14ac:dyDescent="0.3">
      <c r="A1748" s="1" t="s">
        <v>1890</v>
      </c>
      <c r="B1748" s="1" t="str">
        <f ca="1">IFERROR(__xludf.DUMMYFUNCTION("GOOGLETRANSLATE(A1748, ""en"", ""fr"")"),"marché des actions")</f>
        <v>marché des actions</v>
      </c>
      <c r="CR1748" s="1" t="s">
        <v>93</v>
      </c>
    </row>
    <row r="1749" spans="1:97" ht="14.25" customHeight="1" x14ac:dyDescent="0.3">
      <c r="A1749" s="1" t="s">
        <v>1891</v>
      </c>
      <c r="B1749" s="1" t="str">
        <f ca="1">IFERROR(__xludf.DUMMYFUNCTION("GOOGLETRANSLATE(A1749, ""en"", ""fr"")"),"Erha")</f>
        <v>Erha</v>
      </c>
      <c r="R1749" s="1" t="s">
        <v>15</v>
      </c>
      <c r="CS1749" s="1" t="s">
        <v>94</v>
      </c>
    </row>
    <row r="1750" spans="1:97" ht="14.25" customHeight="1" x14ac:dyDescent="0.3">
      <c r="A1750" s="1" t="s">
        <v>1892</v>
      </c>
      <c r="B1750" s="1" t="str">
        <f ca="1">IFERROR(__xludf.DUMMYFUNCTION("GOOGLETRANSLATE(A1750, ""en"", ""fr"")"),"ÉRODER")</f>
        <v>ÉRODER</v>
      </c>
      <c r="D1750" s="1" t="s">
        <v>4963</v>
      </c>
    </row>
    <row r="1751" spans="1:97" ht="14.25" customHeight="1" x14ac:dyDescent="0.3">
      <c r="A1751" s="1" t="s">
        <v>1893</v>
      </c>
      <c r="B1751" s="1" t="str">
        <f ca="1">IFERROR(__xludf.DUMMYFUNCTION("GOOGLETRANSLATE(A1751, ""en"", ""fr"")"),"Érodé")</f>
        <v>Érodé</v>
      </c>
      <c r="D1751" s="1" t="s">
        <v>4963</v>
      </c>
    </row>
    <row r="1752" spans="1:97" ht="14.25" customHeight="1" x14ac:dyDescent="0.3">
      <c r="A1752" s="1" t="s">
        <v>1894</v>
      </c>
      <c r="B1752" s="1" t="str">
        <f ca="1">IFERROR(__xludf.DUMMYFUNCTION("GOOGLETRANSLATE(A1752, ""en"", ""fr"")"),"Éroder")</f>
        <v>Éroder</v>
      </c>
      <c r="D1752" s="1" t="s">
        <v>4963</v>
      </c>
    </row>
    <row r="1753" spans="1:97" ht="14.25" customHeight="1" x14ac:dyDescent="0.3">
      <c r="A1753" s="1" t="s">
        <v>1895</v>
      </c>
      <c r="B1753" s="1" t="str">
        <f ca="1">IFERROR(__xludf.DUMMYFUNCTION("GOOGLETRANSLATE(A1753, ""en"", ""fr"")"),"Érodage")</f>
        <v>Érodage</v>
      </c>
      <c r="D1753" s="1" t="s">
        <v>4963</v>
      </c>
    </row>
    <row r="1754" spans="1:97" ht="14.25" customHeight="1" x14ac:dyDescent="0.3">
      <c r="A1754" s="1" t="s">
        <v>1896</v>
      </c>
      <c r="B1754" s="1" t="str">
        <f ca="1">IFERROR(__xludf.DUMMYFUNCTION("GOOGLETRANSLATE(A1754, ""en"", ""fr"")"),"ÉROSION")</f>
        <v>ÉROSION</v>
      </c>
      <c r="D1754" s="1" t="s">
        <v>4963</v>
      </c>
    </row>
    <row r="1755" spans="1:97" ht="14.25" customHeight="1" x14ac:dyDescent="0.3">
      <c r="A1755" s="1" t="s">
        <v>1897</v>
      </c>
      <c r="B1755" s="1" t="str">
        <f ca="1">IFERROR(__xludf.DUMMYFUNCTION("GOOGLETRANSLATE(A1755, ""en"", ""fr"")"),"ERRATIQUE")</f>
        <v>ERRATIQUE</v>
      </c>
      <c r="D1755" s="1" t="s">
        <v>4963</v>
      </c>
    </row>
    <row r="1756" spans="1:97" ht="14.25" customHeight="1" x14ac:dyDescent="0.3">
      <c r="A1756" s="1" t="s">
        <v>1898</v>
      </c>
      <c r="B1756" s="1" t="str">
        <f ca="1">IFERROR(__xludf.DUMMYFUNCTION("GOOGLETRANSLATE(A1756, ""en"", ""fr"")"),"De manière irrégulière")</f>
        <v>De manière irrégulière</v>
      </c>
      <c r="D1756" s="1" t="s">
        <v>4963</v>
      </c>
    </row>
    <row r="1757" spans="1:97" ht="14.25" customHeight="1" x14ac:dyDescent="0.3">
      <c r="A1757" s="1" t="s">
        <v>1899</v>
      </c>
      <c r="B1757" s="1" t="str">
        <f ca="1">IFERROR(__xludf.DUMMYFUNCTION("GOOGLETRANSLATE(A1757, ""en"", ""fr"")"),"Erroné")</f>
        <v>Erroné</v>
      </c>
      <c r="D1757" s="1" t="s">
        <v>4963</v>
      </c>
    </row>
    <row r="1758" spans="1:97" ht="14.25" customHeight="1" x14ac:dyDescent="0.3">
      <c r="A1758" s="1" t="s">
        <v>1900</v>
      </c>
      <c r="B1758" s="1" t="str">
        <f ca="1">IFERROR(__xludf.DUMMYFUNCTION("GOOGLETRANSLATE(A1758, ""en"", ""fr"")"),"Errant")</f>
        <v>Errant</v>
      </c>
      <c r="D1758" s="1" t="s">
        <v>4963</v>
      </c>
    </row>
    <row r="1759" spans="1:97" ht="14.25" customHeight="1" x14ac:dyDescent="0.3">
      <c r="A1759" s="1" t="s">
        <v>1901</v>
      </c>
      <c r="B1759" s="1" t="str">
        <f ca="1">IFERROR(__xludf.DUMMYFUNCTION("GOOGLETRANSLATE(A1759, ""en"", ""fr"")"),"ERRONÉ")</f>
        <v>ERRONÉ</v>
      </c>
      <c r="D1759" s="1" t="s">
        <v>4963</v>
      </c>
    </row>
    <row r="1760" spans="1:97" ht="14.25" customHeight="1" x14ac:dyDescent="0.3">
      <c r="A1760" s="1" t="s">
        <v>1902</v>
      </c>
      <c r="B1760" s="1" t="str">
        <f ca="1">IFERROR(__xludf.DUMMYFUNCTION("GOOGLETRANSLATE(A1760, ""en"", ""fr"")"),"À tort")</f>
        <v>À tort</v>
      </c>
      <c r="D1760" s="1" t="s">
        <v>4963</v>
      </c>
    </row>
    <row r="1761" spans="1:143" ht="14.25" customHeight="1" x14ac:dyDescent="0.3">
      <c r="A1761" s="1" t="s">
        <v>1903</v>
      </c>
      <c r="B1761" s="1" t="str">
        <f ca="1">IFERROR(__xludf.DUMMYFUNCTION("GOOGLETRANSLATE(A1761, ""en"", ""fr"")"),"ERREUR")</f>
        <v>ERREUR</v>
      </c>
      <c r="D1761" s="1" t="s">
        <v>4963</v>
      </c>
    </row>
    <row r="1762" spans="1:143" ht="14.25" customHeight="1" x14ac:dyDescent="0.3">
      <c r="A1762" s="1" t="s">
        <v>1904</v>
      </c>
      <c r="B1762" s="1" t="str">
        <f ca="1">IFERROR(__xludf.DUMMYFUNCTION("GOOGLETRANSLATE(A1762, ""en"", ""fr"")"),"LES ERREURS")</f>
        <v>LES ERREURS</v>
      </c>
      <c r="D1762" s="1" t="s">
        <v>4963</v>
      </c>
    </row>
    <row r="1763" spans="1:143" ht="14.25" customHeight="1" x14ac:dyDescent="0.3">
      <c r="A1763" s="1" t="s">
        <v>1905</v>
      </c>
      <c r="B1763" s="1" t="str">
        <f ca="1">IFERROR(__xludf.DUMMYFUNCTION("GOOGLETRANSLATE(A1763, ""en"", ""fr"")"),"Erreurs")</f>
        <v>Erreurs</v>
      </c>
      <c r="D1763" s="1" t="s">
        <v>4963</v>
      </c>
    </row>
    <row r="1764" spans="1:143" ht="14.25" customHeight="1" x14ac:dyDescent="0.3">
      <c r="A1764" s="1" t="s">
        <v>1906</v>
      </c>
      <c r="B1764" s="1" t="str">
        <f ca="1">IFERROR(__xludf.DUMMYFUNCTION("GOOGLETRANSLATE(A1764, ""en"", ""fr"")"),"Escalante")</f>
        <v>Escalante</v>
      </c>
      <c r="R1764" s="1" t="s">
        <v>15</v>
      </c>
      <c r="CS1764" s="1" t="s">
        <v>94</v>
      </c>
    </row>
    <row r="1765" spans="1:143" ht="14.25" customHeight="1" x14ac:dyDescent="0.3">
      <c r="A1765" s="1" t="s">
        <v>1907</v>
      </c>
      <c r="B1765" s="1" t="str">
        <f ca="1">IFERROR(__xludf.DUMMYFUNCTION("GOOGLETRANSLATE(A1765, ""en"", ""fr"")"),"INTENSIFIER")</f>
        <v>INTENSIFIER</v>
      </c>
      <c r="D1765" s="1" t="s">
        <v>4963</v>
      </c>
    </row>
    <row r="1766" spans="1:143" ht="14.25" customHeight="1" x14ac:dyDescent="0.3">
      <c r="A1766" s="1" t="s">
        <v>1908</v>
      </c>
      <c r="B1766" s="1" t="str">
        <f ca="1">IFERROR(__xludf.DUMMYFUNCTION("GOOGLETRANSLATE(A1766, ""en"", ""fr"")"),"Dégénéré")</f>
        <v>Dégénéré</v>
      </c>
      <c r="D1766" s="1" t="s">
        <v>4963</v>
      </c>
    </row>
    <row r="1767" spans="1:143" ht="14.25" customHeight="1" x14ac:dyDescent="0.3">
      <c r="A1767" s="1" t="s">
        <v>1909</v>
      </c>
      <c r="B1767" s="1" t="str">
        <f ca="1">IFERROR(__xludf.DUMMYFUNCTION("GOOGLETRANSLATE(A1767, ""en"", ""fr"")"),"Dégénère")</f>
        <v>Dégénère</v>
      </c>
      <c r="D1767" s="1" t="s">
        <v>4963</v>
      </c>
    </row>
    <row r="1768" spans="1:143" ht="14.25" customHeight="1" x14ac:dyDescent="0.3">
      <c r="A1768" s="1" t="s">
        <v>1910</v>
      </c>
      <c r="B1768" s="1" t="str">
        <f ca="1">IFERROR(__xludf.DUMMYFUNCTION("GOOGLETRANSLATE(A1768, ""en"", ""fr"")"),"Escalade")</f>
        <v>Escalade</v>
      </c>
      <c r="D1768" s="1" t="s">
        <v>4963</v>
      </c>
    </row>
    <row r="1769" spans="1:143" ht="14.25" customHeight="1" x14ac:dyDescent="0.3">
      <c r="A1769" s="1" t="s">
        <v>1911</v>
      </c>
      <c r="B1769" s="1" t="str">
        <f ca="1">IFERROR(__xludf.DUMMYFUNCTION("GOOGLETRANSLATE(A1769, ""en"", ""fr"")"),"Escravos")</f>
        <v>Escravos</v>
      </c>
      <c r="R1769" s="1" t="s">
        <v>15</v>
      </c>
      <c r="CS1769" s="1" t="s">
        <v>94</v>
      </c>
    </row>
    <row r="1770" spans="1:143" ht="14.25" customHeight="1" x14ac:dyDescent="0.3">
      <c r="A1770" s="1" t="s">
        <v>1912</v>
      </c>
      <c r="B1770" s="1" t="str">
        <f ca="1">IFERROR(__xludf.DUMMYFUNCTION("GOOGLETRANSLATE(A1770, ""en"", ""fr"")"),"esfantiar")</f>
        <v>esfantiar</v>
      </c>
      <c r="AU1770" s="1" t="s">
        <v>44</v>
      </c>
      <c r="BK1770" s="1" t="s">
        <v>60</v>
      </c>
      <c r="DD1770" s="1" t="s">
        <v>105</v>
      </c>
    </row>
    <row r="1771" spans="1:143" ht="14.25" customHeight="1" x14ac:dyDescent="0.3">
      <c r="A1771" s="1" t="s">
        <v>1913</v>
      </c>
      <c r="B1771" s="1" t="str">
        <f ca="1">IFERROR(__xludf.DUMMYFUNCTION("GOOGLETRANSLATE(A1771, ""en"", ""fr"")"),"Mélange ESPO")</f>
        <v>Mélange ESPO</v>
      </c>
      <c r="R1771" s="1" t="s">
        <v>15</v>
      </c>
      <c r="CS1771" s="1" t="s">
        <v>94</v>
      </c>
    </row>
    <row r="1772" spans="1:143" ht="14.25" customHeight="1" x14ac:dyDescent="0.3">
      <c r="A1772" s="1" t="s">
        <v>1914</v>
      </c>
      <c r="B1772" s="1" t="str">
        <f ca="1">IFERROR(__xludf.DUMMYFUNCTION("GOOGLETRANSLATE(A1772, ""en"", ""fr"")"),"essar")</f>
        <v>essar</v>
      </c>
      <c r="X1772" s="1" t="s">
        <v>21</v>
      </c>
      <c r="BR1772" s="1" t="s">
        <v>67</v>
      </c>
      <c r="CI1772" s="1" t="s">
        <v>84</v>
      </c>
      <c r="DT1772" s="1" t="s">
        <v>121</v>
      </c>
    </row>
    <row r="1773" spans="1:143" ht="14.25" customHeight="1" x14ac:dyDescent="0.3">
      <c r="A1773" s="1" t="s">
        <v>1915</v>
      </c>
      <c r="B1773" s="1" t="str">
        <f ca="1">IFERROR(__xludf.DUMMYFUNCTION("GOOGLETRANSLATE(A1773, ""en"", ""fr"")"),"raffinerie ESSAR")</f>
        <v>raffinerie ESSAR</v>
      </c>
      <c r="X1773" s="1" t="s">
        <v>21</v>
      </c>
      <c r="AH1773" s="1" t="s">
        <v>31</v>
      </c>
      <c r="BF1773" s="1" t="s">
        <v>55</v>
      </c>
      <c r="BR1773" s="1" t="s">
        <v>67</v>
      </c>
      <c r="CI1773" s="1" t="s">
        <v>84</v>
      </c>
      <c r="EB1773" s="1" t="s">
        <v>129</v>
      </c>
    </row>
    <row r="1774" spans="1:143" ht="14.25" customHeight="1" x14ac:dyDescent="0.3">
      <c r="A1774" s="1" t="s">
        <v>1916</v>
      </c>
      <c r="B1774" s="1" t="str">
        <f ca="1">IFERROR(__xludf.DUMMYFUNCTION("GOOGLETRANSLATE(A1774, ""en"", ""fr"")"),"esso")</f>
        <v>esso</v>
      </c>
      <c r="BC1774" s="1" t="s">
        <v>52</v>
      </c>
      <c r="DT1774" s="1" t="s">
        <v>121</v>
      </c>
      <c r="EM1774" s="1" t="s">
        <v>140</v>
      </c>
    </row>
    <row r="1775" spans="1:143" ht="14.25" customHeight="1" x14ac:dyDescent="0.3">
      <c r="A1775" s="1" t="s">
        <v>1917</v>
      </c>
      <c r="B1775" s="1" t="str">
        <f ca="1">IFERROR(__xludf.DUMMYFUNCTION("GOOGLETRANSLATE(A1775, ""en"", ""fr"")"),"ET")</f>
        <v>ET</v>
      </c>
      <c r="J1775" s="1" t="s">
        <v>7</v>
      </c>
    </row>
    <row r="1776" spans="1:143" ht="14.25" customHeight="1" x14ac:dyDescent="0.3">
      <c r="A1776" s="1" t="s">
        <v>1918</v>
      </c>
      <c r="B1776" s="1" t="str">
        <f ca="1">IFERROR(__xludf.DUMMYFUNCTION("GOOGLETRANSLATE(A1776, ""en"", ""fr"")"),"Île Eugene")</f>
        <v>Île Eugene</v>
      </c>
      <c r="R1776" s="1" t="s">
        <v>15</v>
      </c>
      <c r="CS1776" s="1" t="s">
        <v>94</v>
      </c>
    </row>
    <row r="1777" spans="1:17" ht="14.25" customHeight="1" x14ac:dyDescent="0.3">
      <c r="A1777" s="1" t="s">
        <v>1919</v>
      </c>
      <c r="B1777" s="1" t="str">
        <f ca="1">IFERROR(__xludf.DUMMYFUNCTION("GOOGLETRANSLATE(A1777, ""en"", ""fr"")"),"Claignage européen des matières premières")</f>
        <v>Claignage européen des matières premières</v>
      </c>
      <c r="G1777" s="1" t="s">
        <v>5</v>
      </c>
    </row>
    <row r="1778" spans="1:17" ht="14.25" customHeight="1" x14ac:dyDescent="0.3">
      <c r="A1778" s="1" t="s">
        <v>1920</v>
      </c>
      <c r="B1778" s="1" t="str">
        <f ca="1">IFERROR(__xludf.DUMMYFUNCTION("GOOGLETRANSLATE(A1778, ""en"", ""fr"")"),"option européenne")</f>
        <v>option européenne</v>
      </c>
      <c r="Q1778" s="1" t="s">
        <v>14</v>
      </c>
    </row>
    <row r="1779" spans="1:17" ht="14.25" customHeight="1" x14ac:dyDescent="0.3">
      <c r="A1779" s="1" t="s">
        <v>1921</v>
      </c>
      <c r="B1779" s="1" t="str">
        <f ca="1">IFERROR(__xludf.DUMMYFUNCTION("GOOGLETRANSLATE(A1779, ""en"", ""fr"")"),"Eva")</f>
        <v>Eva</v>
      </c>
      <c r="M1779" s="1" t="s">
        <v>10</v>
      </c>
    </row>
    <row r="1780" spans="1:17" ht="14.25" customHeight="1" x14ac:dyDescent="0.3">
      <c r="A1780" s="1" t="s">
        <v>1922</v>
      </c>
      <c r="B1780" s="1" t="str">
        <f ca="1">IFERROR(__xludf.DUMMYFUNCTION("GOOGLETRANSLATE(A1780, ""en"", ""fr"")"),"ÉLUDER")</f>
        <v>ÉLUDER</v>
      </c>
      <c r="D1780" s="1" t="s">
        <v>4963</v>
      </c>
    </row>
    <row r="1781" spans="1:17" ht="14.25" customHeight="1" x14ac:dyDescent="0.3">
      <c r="A1781" s="1" t="s">
        <v>1923</v>
      </c>
      <c r="B1781" s="1" t="str">
        <f ca="1">IFERROR(__xludf.DUMMYFUNCTION("GOOGLETRANSLATE(A1781, ""en"", ""fr"")"),"Échappé")</f>
        <v>Échappé</v>
      </c>
      <c r="D1781" s="1" t="s">
        <v>4963</v>
      </c>
    </row>
    <row r="1782" spans="1:17" ht="14.25" customHeight="1" x14ac:dyDescent="0.3">
      <c r="A1782" s="1" t="s">
        <v>1924</v>
      </c>
      <c r="B1782" s="1" t="str">
        <f ca="1">IFERROR(__xludf.DUMMYFUNCTION("GOOGLETRANSLATE(A1782, ""en"", ""fr"")"),"Évasions")</f>
        <v>Évasions</v>
      </c>
      <c r="D1782" s="1" t="s">
        <v>4963</v>
      </c>
    </row>
    <row r="1783" spans="1:17" ht="14.25" customHeight="1" x14ac:dyDescent="0.3">
      <c r="A1783" s="1" t="s">
        <v>1925</v>
      </c>
      <c r="B1783" s="1" t="str">
        <f ca="1">IFERROR(__xludf.DUMMYFUNCTION("GOOGLETRANSLATE(A1783, ""en"", ""fr"")"),"Éluder")</f>
        <v>Éluder</v>
      </c>
      <c r="D1783" s="1" t="s">
        <v>4963</v>
      </c>
    </row>
    <row r="1784" spans="1:17" ht="14.25" customHeight="1" x14ac:dyDescent="0.3">
      <c r="A1784" s="1" t="s">
        <v>1926</v>
      </c>
      <c r="B1784" s="1" t="str">
        <f ca="1">IFERROR(__xludf.DUMMYFUNCTION("GOOGLETRANSLATE(A1784, ""en"", ""fr"")"),"ÉVASION")</f>
        <v>ÉVASION</v>
      </c>
      <c r="D1784" s="1" t="s">
        <v>4963</v>
      </c>
    </row>
    <row r="1785" spans="1:17" ht="14.25" customHeight="1" x14ac:dyDescent="0.3">
      <c r="A1785" s="1" t="s">
        <v>1927</v>
      </c>
      <c r="B1785" s="1" t="str">
        <f ca="1">IFERROR(__xludf.DUMMYFUNCTION("GOOGLETRANSLATE(A1785, ""en"", ""fr"")"),"Évasions")</f>
        <v>Évasions</v>
      </c>
      <c r="D1785" s="1" t="s">
        <v>4963</v>
      </c>
    </row>
    <row r="1786" spans="1:17" ht="14.25" customHeight="1" x14ac:dyDescent="0.3">
      <c r="A1786" s="1" t="s">
        <v>1928</v>
      </c>
      <c r="B1786" s="1" t="str">
        <f ca="1">IFERROR(__xludf.DUMMYFUNCTION("GOOGLETRANSLATE(A1786, ""en"", ""fr"")"),"ÉVASIF")</f>
        <v>ÉVASIF</v>
      </c>
      <c r="D1786" s="1" t="s">
        <v>4963</v>
      </c>
    </row>
    <row r="1787" spans="1:17" ht="14.25" customHeight="1" x14ac:dyDescent="0.3">
      <c r="A1787" s="1" t="s">
        <v>1929</v>
      </c>
      <c r="B1787" s="1" t="str">
        <f ca="1">IFERROR(__xludf.DUMMYFUNCTION("GOOGLETRANSLATE(A1787, ""en"", ""fr"")"),"même")</f>
        <v>même</v>
      </c>
      <c r="J1787" s="1" t="s">
        <v>7</v>
      </c>
    </row>
    <row r="1788" spans="1:17" ht="14.25" customHeight="1" x14ac:dyDescent="0.3">
      <c r="A1788" s="1" t="s">
        <v>1930</v>
      </c>
      <c r="B1788" s="1" t="str">
        <f ca="1">IFERROR(__xludf.DUMMYFUNCTION("GOOGLETRANSLATE(A1788, ""en"", ""fr"")"),"EXPULSER")</f>
        <v>EXPULSER</v>
      </c>
      <c r="D1788" s="1" t="s">
        <v>4963</v>
      </c>
    </row>
    <row r="1789" spans="1:17" ht="14.25" customHeight="1" x14ac:dyDescent="0.3">
      <c r="A1789" s="1" t="s">
        <v>1931</v>
      </c>
      <c r="B1789" s="1" t="str">
        <f ca="1">IFERROR(__xludf.DUMMYFUNCTION("GOOGLETRANSLATE(A1789, ""en"", ""fr"")"),"Expulsé")</f>
        <v>Expulsé</v>
      </c>
      <c r="D1789" s="1" t="s">
        <v>4963</v>
      </c>
    </row>
    <row r="1790" spans="1:17" ht="14.25" customHeight="1" x14ac:dyDescent="0.3">
      <c r="A1790" s="1" t="s">
        <v>1932</v>
      </c>
      <c r="B1790" s="1" t="str">
        <f ca="1">IFERROR(__xludf.DUMMYFUNCTION("GOOGLETRANSLATE(A1790, ""en"", ""fr"")"),"Expulsant")</f>
        <v>Expulsant</v>
      </c>
      <c r="D1790" s="1" t="s">
        <v>4963</v>
      </c>
    </row>
    <row r="1791" spans="1:17" ht="14.25" customHeight="1" x14ac:dyDescent="0.3">
      <c r="A1791" s="1" t="s">
        <v>1933</v>
      </c>
      <c r="B1791" s="1" t="str">
        <f ca="1">IFERROR(__xludf.DUMMYFUNCTION("GOOGLETRANSLATE(A1791, ""en"", ""fr"")"),"EXPULSION")</f>
        <v>EXPULSION</v>
      </c>
      <c r="D1791" s="1" t="s">
        <v>4963</v>
      </c>
    </row>
    <row r="1792" spans="1:17" ht="14.25" customHeight="1" x14ac:dyDescent="0.3">
      <c r="A1792" s="1" t="s">
        <v>1934</v>
      </c>
      <c r="B1792" s="1" t="str">
        <f ca="1">IFERROR(__xludf.DUMMYFUNCTION("GOOGLETRANSLATE(A1792, ""en"", ""fr"")"),"Expulsions")</f>
        <v>Expulsions</v>
      </c>
      <c r="D1792" s="1" t="s">
        <v>4963</v>
      </c>
    </row>
    <row r="1793" spans="1:8" ht="14.25" customHeight="1" x14ac:dyDescent="0.3">
      <c r="A1793" s="1" t="s">
        <v>1935</v>
      </c>
      <c r="B1793" s="1" t="str">
        <f ca="1">IFERROR(__xludf.DUMMYFUNCTION("GOOGLETRANSLATE(A1793, ""en"", ""fr"")"),"Expulser")</f>
        <v>Expulser</v>
      </c>
      <c r="D1793" s="1" t="s">
        <v>4963</v>
      </c>
    </row>
    <row r="1794" spans="1:8" ht="14.25" customHeight="1" x14ac:dyDescent="0.3">
      <c r="A1794" s="1" t="s">
        <v>1936</v>
      </c>
      <c r="B1794" s="1" t="str">
        <f ca="1">IFERROR(__xludf.DUMMYFUNCTION("GOOGLETRANSLATE(A1794, ""en"", ""fr"")"),"EXACERBER")</f>
        <v>EXACERBER</v>
      </c>
      <c r="D1794" s="1" t="s">
        <v>4963</v>
      </c>
    </row>
    <row r="1795" spans="1:8" ht="14.25" customHeight="1" x14ac:dyDescent="0.3">
      <c r="A1795" s="1" t="s">
        <v>1937</v>
      </c>
      <c r="B1795" s="1" t="str">
        <f ca="1">IFERROR(__xludf.DUMMYFUNCTION("GOOGLETRANSLATE(A1795, ""en"", ""fr"")"),"Exacerbé")</f>
        <v>Exacerbé</v>
      </c>
      <c r="D1795" s="1" t="s">
        <v>4963</v>
      </c>
    </row>
    <row r="1796" spans="1:8" ht="14.25" customHeight="1" x14ac:dyDescent="0.3">
      <c r="A1796" s="1" t="s">
        <v>1938</v>
      </c>
      <c r="B1796" s="1" t="str">
        <f ca="1">IFERROR(__xludf.DUMMYFUNCTION("GOOGLETRANSLATE(A1796, ""en"", ""fr"")"),"Exacerbe")</f>
        <v>Exacerbe</v>
      </c>
      <c r="D1796" s="1" t="s">
        <v>4963</v>
      </c>
    </row>
    <row r="1797" spans="1:8" ht="14.25" customHeight="1" x14ac:dyDescent="0.3">
      <c r="A1797" s="1" t="s">
        <v>1939</v>
      </c>
      <c r="B1797" s="1" t="str">
        <f ca="1">IFERROR(__xludf.DUMMYFUNCTION("GOOGLETRANSLATE(A1797, ""en"", ""fr"")"),"Exacerber")</f>
        <v>Exacerber</v>
      </c>
      <c r="D1797" s="1" t="s">
        <v>4963</v>
      </c>
    </row>
    <row r="1798" spans="1:8" ht="14.25" customHeight="1" x14ac:dyDescent="0.3">
      <c r="A1798" s="1" t="s">
        <v>1940</v>
      </c>
      <c r="B1798" s="1" t="str">
        <f ca="1">IFERROR(__xludf.DUMMYFUNCTION("GOOGLETRANSLATE(A1798, ""en"", ""fr"")"),"EXACERBATION")</f>
        <v>EXACERBATION</v>
      </c>
      <c r="D1798" s="1" t="s">
        <v>4963</v>
      </c>
    </row>
    <row r="1799" spans="1:8" ht="14.25" customHeight="1" x14ac:dyDescent="0.3">
      <c r="A1799" s="1" t="s">
        <v>1941</v>
      </c>
      <c r="B1799" s="1" t="str">
        <f ca="1">IFERROR(__xludf.DUMMYFUNCTION("GOOGLETRANSLATE(A1799, ""en"", ""fr"")"),"Exacerbations")</f>
        <v>Exacerbations</v>
      </c>
      <c r="D1799" s="1" t="s">
        <v>4963</v>
      </c>
    </row>
    <row r="1800" spans="1:8" ht="14.25" customHeight="1" x14ac:dyDescent="0.3">
      <c r="A1800" s="1" t="s">
        <v>1942</v>
      </c>
      <c r="B1800" s="1" t="str">
        <f ca="1">IFERROR(__xludf.DUMMYFUNCTION("GOOGLETRANSLATE(A1800, ""en"", ""fr"")"),"EXAGÉRER")</f>
        <v>EXAGÉRER</v>
      </c>
      <c r="D1800" s="1" t="s">
        <v>4963</v>
      </c>
    </row>
    <row r="1801" spans="1:8" ht="14.25" customHeight="1" x14ac:dyDescent="0.3">
      <c r="A1801" s="1" t="s">
        <v>1943</v>
      </c>
      <c r="B1801" s="1" t="str">
        <f ca="1">IFERROR(__xludf.DUMMYFUNCTION("GOOGLETRANSLATE(A1801, ""en"", ""fr"")"),"EXAGÉRÉ")</f>
        <v>EXAGÉRÉ</v>
      </c>
      <c r="D1801" s="1" t="s">
        <v>4963</v>
      </c>
    </row>
    <row r="1802" spans="1:8" ht="14.25" customHeight="1" x14ac:dyDescent="0.3">
      <c r="A1802" s="1" t="s">
        <v>1944</v>
      </c>
      <c r="B1802" s="1" t="str">
        <f ca="1">IFERROR(__xludf.DUMMYFUNCTION("GOOGLETRANSLATE(A1802, ""en"", ""fr"")"),"Exagérer")</f>
        <v>Exagérer</v>
      </c>
      <c r="D1802" s="1" t="s">
        <v>4963</v>
      </c>
    </row>
    <row r="1803" spans="1:8" ht="14.25" customHeight="1" x14ac:dyDescent="0.3">
      <c r="A1803" s="1" t="s">
        <v>1945</v>
      </c>
      <c r="B1803" s="1" t="str">
        <f ca="1">IFERROR(__xludf.DUMMYFUNCTION("GOOGLETRANSLATE(A1803, ""en"", ""fr"")"),"Exagéré")</f>
        <v>Exagéré</v>
      </c>
      <c r="D1803" s="1" t="s">
        <v>4963</v>
      </c>
    </row>
    <row r="1804" spans="1:8" ht="14.25" customHeight="1" x14ac:dyDescent="0.3">
      <c r="A1804" s="1" t="s">
        <v>1946</v>
      </c>
      <c r="B1804" s="1" t="str">
        <f ca="1">IFERROR(__xludf.DUMMYFUNCTION("GOOGLETRANSLATE(A1804, ""en"", ""fr"")"),"EXAGÉRATION")</f>
        <v>EXAGÉRATION</v>
      </c>
      <c r="D1804" s="1" t="s">
        <v>4963</v>
      </c>
    </row>
    <row r="1805" spans="1:8" ht="14.25" customHeight="1" x14ac:dyDescent="0.3">
      <c r="A1805" s="1" t="s">
        <v>1947</v>
      </c>
      <c r="B1805" s="1" t="str">
        <f ca="1">IFERROR(__xludf.DUMMYFUNCTION("GOOGLETRANSLATE(A1805, ""en"", ""fr"")"),"EXCELLENCE")</f>
        <v>EXCELLENCE</v>
      </c>
      <c r="H1805" s="1" t="s">
        <v>4964</v>
      </c>
    </row>
    <row r="1806" spans="1:8" ht="14.25" customHeight="1" x14ac:dyDescent="0.3">
      <c r="A1806" s="1" t="s">
        <v>1948</v>
      </c>
      <c r="B1806" s="1" t="str">
        <f ca="1">IFERROR(__xludf.DUMMYFUNCTION("GOOGLETRANSLATE(A1806, ""en"", ""fr"")"),"EXCELLENT")</f>
        <v>EXCELLENT</v>
      </c>
      <c r="H1806" s="1" t="s">
        <v>4964</v>
      </c>
    </row>
    <row r="1807" spans="1:8" ht="14.25" customHeight="1" x14ac:dyDescent="0.3">
      <c r="A1807" s="1" t="s">
        <v>1949</v>
      </c>
      <c r="B1807" s="1" t="str">
        <f ca="1">IFERROR(__xludf.DUMMYFUNCTION("GOOGLETRANSLATE(A1807, ""en"", ""fr"")"),"Excitant")</f>
        <v>Excitant</v>
      </c>
      <c r="H1807" s="1" t="s">
        <v>4964</v>
      </c>
    </row>
    <row r="1808" spans="1:8" ht="14.25" customHeight="1" x14ac:dyDescent="0.3">
      <c r="A1808" s="1" t="s">
        <v>1950</v>
      </c>
      <c r="B1808" s="1" t="str">
        <f ca="1">IFERROR(__xludf.DUMMYFUNCTION("GOOGLETRANSLATE(A1808, ""en"", ""fr"")"),"Excellent")</f>
        <v>Excellent</v>
      </c>
      <c r="H1808" s="1" t="s">
        <v>4964</v>
      </c>
    </row>
    <row r="1809" spans="1:17" ht="14.25" customHeight="1" x14ac:dyDescent="0.3">
      <c r="A1809" s="1" t="s">
        <v>1951</v>
      </c>
      <c r="B1809" s="1" t="str">
        <f ca="1">IFERROR(__xludf.DUMMYFUNCTION("GOOGLETRANSLATE(A1809, ""en"", ""fr"")"),"EXCEPTIONNEL")</f>
        <v>EXCEPTIONNEL</v>
      </c>
      <c r="H1809" s="1" t="s">
        <v>4964</v>
      </c>
    </row>
    <row r="1810" spans="1:17" ht="14.25" customHeight="1" x14ac:dyDescent="0.3">
      <c r="A1810" s="1" t="s">
        <v>1952</v>
      </c>
      <c r="B1810" s="1" t="str">
        <f ca="1">IFERROR(__xludf.DUMMYFUNCTION("GOOGLETRANSLATE(A1810, ""en"", ""fr"")"),"EXCEPTIONNELLEMENT")</f>
        <v>EXCEPTIONNELLEMENT</v>
      </c>
      <c r="H1810" s="1" t="s">
        <v>4964</v>
      </c>
    </row>
    <row r="1811" spans="1:17" ht="14.25" customHeight="1" x14ac:dyDescent="0.3">
      <c r="A1811" s="1" t="s">
        <v>1953</v>
      </c>
      <c r="B1811" s="1" t="str">
        <f ca="1">IFERROR(__xludf.DUMMYFUNCTION("GOOGLETRANSLATE(A1811, ""en"", ""fr"")"),"EXCESSIF")</f>
        <v>EXCESSIF</v>
      </c>
      <c r="D1811" s="1" t="s">
        <v>4963</v>
      </c>
    </row>
    <row r="1812" spans="1:17" ht="14.25" customHeight="1" x14ac:dyDescent="0.3">
      <c r="A1812" s="1" t="s">
        <v>1954</v>
      </c>
      <c r="B1812" s="1" t="str">
        <f ca="1">IFERROR(__xludf.DUMMYFUNCTION("GOOGLETRANSLATE(A1812, ""en"", ""fr"")"),"EXCESSIVEMENT")</f>
        <v>EXCESSIVEMENT</v>
      </c>
      <c r="D1812" s="1" t="s">
        <v>4963</v>
      </c>
    </row>
    <row r="1813" spans="1:17" ht="14.25" customHeight="1" x14ac:dyDescent="0.3">
      <c r="A1813" s="1" t="s">
        <v>1955</v>
      </c>
      <c r="B1813" s="1" t="str">
        <f ca="1">IFERROR(__xludf.DUMMYFUNCTION("GOOGLETRANSLATE(A1813, ""en"", ""fr"")"),"échange de futurs contre")</f>
        <v>échange de futurs contre</v>
      </c>
      <c r="Q1813" s="1" t="s">
        <v>14</v>
      </c>
    </row>
    <row r="1814" spans="1:17" ht="14.25" customHeight="1" x14ac:dyDescent="0.3">
      <c r="A1814" s="1" t="s">
        <v>1956</v>
      </c>
      <c r="B1814" s="1" t="str">
        <f ca="1">IFERROR(__xludf.DUMMYFUNCTION("GOOGLETRANSLATE(A1814, ""en"", ""fr"")"),"Échange de futurs contre des échanges")</f>
        <v>Échange de futurs contre des échanges</v>
      </c>
      <c r="Q1814" s="1" t="s">
        <v>14</v>
      </c>
    </row>
    <row r="1815" spans="1:17" ht="14.25" customHeight="1" x14ac:dyDescent="0.3">
      <c r="A1815" s="1" t="s">
        <v>1957</v>
      </c>
      <c r="B1815" s="1" t="str">
        <f ca="1">IFERROR(__xludf.DUMMYFUNCTION("GOOGLETRANSLATE(A1815, ""en"", ""fr"")"),"option d'échange")</f>
        <v>option d'échange</v>
      </c>
      <c r="Q1815" s="1" t="s">
        <v>14</v>
      </c>
    </row>
    <row r="1816" spans="1:17" ht="14.25" customHeight="1" x14ac:dyDescent="0.3">
      <c r="A1816" s="1" t="s">
        <v>1958</v>
      </c>
      <c r="B1816" s="1" t="str">
        <f ca="1">IFERROR(__xludf.DUMMYFUNCTION("GOOGLETRANSLATE(A1816, ""en"", ""fr"")"),"Option échangée")</f>
        <v>Option échangée</v>
      </c>
      <c r="Q1816" s="1" t="s">
        <v>14</v>
      </c>
    </row>
    <row r="1817" spans="1:17" ht="14.25" customHeight="1" x14ac:dyDescent="0.3">
      <c r="A1817" s="1" t="s">
        <v>1959</v>
      </c>
      <c r="B1817" s="1" t="str">
        <f ca="1">IFERROR(__xludf.DUMMYFUNCTION("GOOGLETRANSLATE(A1817, ""en"", ""fr"")"),"EXCITÉ")</f>
        <v>EXCITÉ</v>
      </c>
      <c r="H1817" s="1" t="s">
        <v>4964</v>
      </c>
    </row>
    <row r="1818" spans="1:17" ht="14.25" customHeight="1" x14ac:dyDescent="0.3">
      <c r="A1818" s="1" t="s">
        <v>1960</v>
      </c>
      <c r="B1818" s="1" t="str">
        <f ca="1">IFERROR(__xludf.DUMMYFUNCTION("GOOGLETRANSLATE(A1818, ""en"", ""fr"")"),"EXCITATION")</f>
        <v>EXCITATION</v>
      </c>
      <c r="H1818" s="1" t="s">
        <v>4964</v>
      </c>
    </row>
    <row r="1819" spans="1:17" ht="14.25" customHeight="1" x14ac:dyDescent="0.3">
      <c r="A1819" s="1" t="s">
        <v>1961</v>
      </c>
      <c r="B1819" s="1" t="str">
        <f ca="1">IFERROR(__xludf.DUMMYFUNCTION("GOOGLETRANSLATE(A1819, ""en"", ""fr"")"),"PASSIONNANT")</f>
        <v>PASSIONNANT</v>
      </c>
      <c r="H1819" s="1" t="s">
        <v>4964</v>
      </c>
    </row>
    <row r="1820" spans="1:17" ht="14.25" customHeight="1" x14ac:dyDescent="0.3">
      <c r="A1820" s="1" t="s">
        <v>1962</v>
      </c>
      <c r="B1820" s="1" t="str">
        <f ca="1">IFERROR(__xludf.DUMMYFUNCTION("GOOGLETRANSLATE(A1820, ""en"", ""fr"")"),"EXCLUSIF")</f>
        <v>EXCLUSIF</v>
      </c>
      <c r="H1820" s="1" t="s">
        <v>4964</v>
      </c>
    </row>
    <row r="1821" spans="1:17" ht="14.25" customHeight="1" x14ac:dyDescent="0.3">
      <c r="A1821" s="1" t="s">
        <v>1963</v>
      </c>
      <c r="B1821" s="1" t="str">
        <f ca="1">IFERROR(__xludf.DUMMYFUNCTION("GOOGLETRANSLATE(A1821, ""en"", ""fr"")"),"EXCLUSIVEMENT")</f>
        <v>EXCLUSIVEMENT</v>
      </c>
      <c r="H1821" s="1" t="s">
        <v>4964</v>
      </c>
    </row>
    <row r="1822" spans="1:17" ht="14.25" customHeight="1" x14ac:dyDescent="0.3">
      <c r="A1822" s="1" t="s">
        <v>1964</v>
      </c>
      <c r="B1822" s="1" t="str">
        <f ca="1">IFERROR(__xludf.DUMMYFUNCTION("GOOGLETRANSLATE(A1822, ""en"", ""fr"")"),"EXCLUSIVITÉ")</f>
        <v>EXCLUSIVITÉ</v>
      </c>
      <c r="H1822" s="1" t="s">
        <v>4964</v>
      </c>
    </row>
    <row r="1823" spans="1:17" ht="14.25" customHeight="1" x14ac:dyDescent="0.3">
      <c r="A1823" s="1" t="s">
        <v>1965</v>
      </c>
      <c r="B1823" s="1" t="str">
        <f ca="1">IFERROR(__xludf.DUMMYFUNCTION("GOOGLETRANSLATE(A1823, ""en"", ""fr"")"),"Exclusivités")</f>
        <v>Exclusivités</v>
      </c>
      <c r="H1823" s="1" t="s">
        <v>4964</v>
      </c>
    </row>
    <row r="1824" spans="1:17" ht="14.25" customHeight="1" x14ac:dyDescent="0.3">
      <c r="A1824" s="1" t="s">
        <v>1966</v>
      </c>
      <c r="B1824" s="1" t="str">
        <f ca="1">IFERROR(__xludf.DUMMYFUNCTION("GOOGLETRANSLATE(A1824, ""en"", ""fr"")"),"Exclusivité")</f>
        <v>Exclusivité</v>
      </c>
      <c r="H1824" s="1" t="s">
        <v>4964</v>
      </c>
    </row>
    <row r="1825" spans="1:13" ht="14.25" customHeight="1" x14ac:dyDescent="0.3">
      <c r="A1825" s="1" t="s">
        <v>1967</v>
      </c>
      <c r="B1825" s="1" t="str">
        <f ca="1">IFERROR(__xludf.DUMMYFUNCTION("GOOGLETRANSLATE(A1825, ""en"", ""fr"")"),"INNOCENTER")</f>
        <v>INNOCENTER</v>
      </c>
      <c r="D1825" s="1" t="s">
        <v>4963</v>
      </c>
    </row>
    <row r="1826" spans="1:13" ht="14.25" customHeight="1" x14ac:dyDescent="0.3">
      <c r="A1826" s="1" t="s">
        <v>1968</v>
      </c>
      <c r="B1826" s="1" t="str">
        <f ca="1">IFERROR(__xludf.DUMMYFUNCTION("GOOGLETRANSLATE(A1826, ""en"", ""fr"")"),"Déloyé")</f>
        <v>Déloyé</v>
      </c>
      <c r="D1826" s="1" t="s">
        <v>4963</v>
      </c>
    </row>
    <row r="1827" spans="1:13" ht="14.25" customHeight="1" x14ac:dyDescent="0.3">
      <c r="A1827" s="1" t="s">
        <v>1969</v>
      </c>
      <c r="B1827" s="1" t="str">
        <f ca="1">IFERROR(__xludf.DUMMYFUNCTION("GOOGLETRANSLATE(A1827, ""en"", ""fr"")"),"Découvrir")</f>
        <v>Découvrir</v>
      </c>
      <c r="D1827" s="1" t="s">
        <v>4963</v>
      </c>
    </row>
    <row r="1828" spans="1:13" ht="14.25" customHeight="1" x14ac:dyDescent="0.3">
      <c r="A1828" s="1" t="s">
        <v>1970</v>
      </c>
      <c r="B1828" s="1" t="str">
        <f ca="1">IFERROR(__xludf.DUMMYFUNCTION("GOOGLETRANSLATE(A1828, ""en"", ""fr"")"),"Encerclement")</f>
        <v>Encerclement</v>
      </c>
      <c r="D1828" s="1" t="s">
        <v>4963</v>
      </c>
    </row>
    <row r="1829" spans="1:13" ht="14.25" customHeight="1" x14ac:dyDescent="0.3">
      <c r="A1829" s="1" t="s">
        <v>1971</v>
      </c>
      <c r="B1829" s="1" t="str">
        <f ca="1">IFERROR(__xludf.DUMMYFUNCTION("GOOGLETRANSLATE(A1829, ""en"", ""fr"")"),"DISCULPATION")</f>
        <v>DISCULPATION</v>
      </c>
      <c r="D1829" s="1" t="s">
        <v>4963</v>
      </c>
    </row>
    <row r="1830" spans="1:13" ht="14.25" customHeight="1" x14ac:dyDescent="0.3">
      <c r="A1830" s="1" t="s">
        <v>1972</v>
      </c>
      <c r="B1830" s="1" t="str">
        <f ca="1">IFERROR(__xludf.DUMMYFUNCTION("GOOGLETRANSLATE(A1830, ""en"", ""fr"")"),"Accumulation")</f>
        <v>Accumulation</v>
      </c>
      <c r="D1830" s="1" t="s">
        <v>4963</v>
      </c>
    </row>
    <row r="1831" spans="1:13" ht="14.25" customHeight="1" x14ac:dyDescent="0.3">
      <c r="A1831" s="1" t="s">
        <v>1973</v>
      </c>
      <c r="B1831" s="1" t="str">
        <f ca="1">IFERROR(__xludf.DUMMYFUNCTION("GOOGLETRANSLATE(A1831, ""en"", ""fr"")"),"Déloyal")</f>
        <v>Déloyal</v>
      </c>
      <c r="D1831" s="1" t="s">
        <v>4963</v>
      </c>
    </row>
    <row r="1832" spans="1:13" ht="14.25" customHeight="1" x14ac:dyDescent="0.3">
      <c r="A1832" s="1" t="s">
        <v>1974</v>
      </c>
      <c r="B1832" s="1" t="str">
        <f ca="1">IFERROR(__xludf.DUMMYFUNCTION("GOOGLETRANSLATE(A1832, ""en"", ""fr"")"),"EXEMPLAIRE")</f>
        <v>EXEMPLAIRE</v>
      </c>
      <c r="H1832" s="1" t="s">
        <v>4964</v>
      </c>
    </row>
    <row r="1833" spans="1:13" ht="14.25" customHeight="1" x14ac:dyDescent="0.3">
      <c r="A1833" s="1" t="s">
        <v>1975</v>
      </c>
      <c r="B1833" s="1" t="str">
        <f ca="1">IFERROR(__xludf.DUMMYFUNCTION("GOOGLETRANSLATE(A1833, ""en"", ""fr"")"),"Ex-alimentation et énergie")</f>
        <v>Ex-alimentation et énergie</v>
      </c>
      <c r="M1833" s="1" t="s">
        <v>10</v>
      </c>
    </row>
    <row r="1834" spans="1:13" ht="14.25" customHeight="1" x14ac:dyDescent="0.3">
      <c r="A1834" s="1" t="s">
        <v>1976</v>
      </c>
      <c r="B1834" s="1" t="str">
        <f ca="1">IFERROR(__xludf.DUMMYFUNCTION("GOOGLETRANSLATE(A1834, ""en"", ""fr"")"),"Ventes des maisons existantes")</f>
        <v>Ventes des maisons existantes</v>
      </c>
      <c r="M1834" s="1" t="s">
        <v>10</v>
      </c>
    </row>
    <row r="1835" spans="1:13" ht="14.25" customHeight="1" x14ac:dyDescent="0.3">
      <c r="A1835" s="1" t="s">
        <v>1977</v>
      </c>
      <c r="B1835" s="1" t="str">
        <f ca="1">IFERROR(__xludf.DUMMYFUNCTION("GOOGLETRANSLATE(A1835, ""en"", ""fr"")"),"DISCULPER")</f>
        <v>DISCULPER</v>
      </c>
      <c r="D1835" s="1" t="s">
        <v>4963</v>
      </c>
    </row>
    <row r="1836" spans="1:13" ht="14.25" customHeight="1" x14ac:dyDescent="0.3">
      <c r="A1836" s="1" t="s">
        <v>1978</v>
      </c>
      <c r="B1836" s="1" t="str">
        <f ca="1">IFERROR(__xludf.DUMMYFUNCTION("GOOGLETRANSLATE(A1836, ""en"", ""fr"")"),"Exonéré")</f>
        <v>Exonéré</v>
      </c>
      <c r="D1836" s="1" t="s">
        <v>4963</v>
      </c>
    </row>
    <row r="1837" spans="1:13" ht="14.25" customHeight="1" x14ac:dyDescent="0.3">
      <c r="A1837" s="1" t="s">
        <v>1979</v>
      </c>
      <c r="B1837" s="1" t="str">
        <f ca="1">IFERROR(__xludf.DUMMYFUNCTION("GOOGLETRANSLATE(A1837, ""en"", ""fr"")"),"Exonérer")</f>
        <v>Exonérer</v>
      </c>
      <c r="D1837" s="1" t="s">
        <v>4963</v>
      </c>
    </row>
    <row r="1838" spans="1:13" ht="14.25" customHeight="1" x14ac:dyDescent="0.3">
      <c r="A1838" s="1" t="s">
        <v>1980</v>
      </c>
      <c r="B1838" s="1" t="str">
        <f ca="1">IFERROR(__xludf.DUMMYFUNCTION("GOOGLETRANSLATE(A1838, ""en"", ""fr"")"),"Exonérant")</f>
        <v>Exonérant</v>
      </c>
      <c r="D1838" s="1" t="s">
        <v>4963</v>
      </c>
    </row>
    <row r="1839" spans="1:13" ht="14.25" customHeight="1" x14ac:dyDescent="0.3">
      <c r="A1839" s="1" t="s">
        <v>1981</v>
      </c>
      <c r="B1839" s="1" t="str">
        <f ca="1">IFERROR(__xludf.DUMMYFUNCTION("GOOGLETRANSLATE(A1839, ""en"", ""fr"")"),"EXONÉRATION")</f>
        <v>EXONÉRATION</v>
      </c>
      <c r="D1839" s="1" t="s">
        <v>4963</v>
      </c>
    </row>
    <row r="1840" spans="1:13" ht="14.25" customHeight="1" x14ac:dyDescent="0.3">
      <c r="A1840" s="1" t="s">
        <v>1982</v>
      </c>
      <c r="B1840" s="1" t="str">
        <f ca="1">IFERROR(__xludf.DUMMYFUNCTION("GOOGLETRANSLATE(A1840, ""en"", ""fr"")"),"Exonérations")</f>
        <v>Exonérations</v>
      </c>
      <c r="D1840" s="1" t="s">
        <v>4963</v>
      </c>
    </row>
    <row r="1841" spans="1:97" ht="14.25" customHeight="1" x14ac:dyDescent="0.3">
      <c r="A1841" s="1" t="s">
        <v>1983</v>
      </c>
      <c r="B1841" s="1" t="str">
        <f ca="1">IFERROR(__xludf.DUMMYFUNCTION("GOOGLETRANSLATE(A1841, ""en"", ""fr"")"),"option exotique")</f>
        <v>option exotique</v>
      </c>
      <c r="Q1841" s="1" t="s">
        <v>14</v>
      </c>
    </row>
    <row r="1842" spans="1:97" ht="14.25" customHeight="1" x14ac:dyDescent="0.3">
      <c r="A1842" s="1" t="s">
        <v>1984</v>
      </c>
      <c r="B1842" s="1" t="str">
        <f ca="1">IFERROR(__xludf.DUMMYFUNCTION("GOOGLETRANSLATE(A1842, ""en"", ""fr"")"),"Index des attentes")</f>
        <v>Index des attentes</v>
      </c>
      <c r="M1842" s="1" t="s">
        <v>10</v>
      </c>
    </row>
    <row r="1843" spans="1:97" ht="14.25" customHeight="1" x14ac:dyDescent="0.3">
      <c r="A1843" s="1" t="s">
        <v>1985</v>
      </c>
      <c r="B1843" s="1" t="str">
        <f ca="1">IFERROR(__xludf.DUMMYFUNCTION("GOOGLETRANSLATE(A1843, ""en"", ""fr"")"),"Théorie des attentes")</f>
        <v>Théorie des attentes</v>
      </c>
      <c r="M1843" s="1" t="s">
        <v>10</v>
      </c>
    </row>
    <row r="1844" spans="1:97" ht="14.25" customHeight="1" x14ac:dyDescent="0.3">
      <c r="A1844" s="1" t="s">
        <v>1986</v>
      </c>
      <c r="B1844" s="1" t="str">
        <f ca="1">IFERROR(__xludf.DUMMYFUNCTION("GOOGLETRANSLATE(A1844, ""en"", ""fr"")"),"EXPLOITER")</f>
        <v>EXPLOITER</v>
      </c>
      <c r="D1844" s="1" t="s">
        <v>4963</v>
      </c>
    </row>
    <row r="1845" spans="1:97" ht="14.25" customHeight="1" x14ac:dyDescent="0.3">
      <c r="A1845" s="1" t="s">
        <v>1987</v>
      </c>
      <c r="B1845" s="1" t="str">
        <f ca="1">IFERROR(__xludf.DUMMYFUNCTION("GOOGLETRANSLATE(A1845, ""en"", ""fr"")"),"EXPLOITATION")</f>
        <v>EXPLOITATION</v>
      </c>
      <c r="D1845" s="1" t="s">
        <v>4963</v>
      </c>
    </row>
    <row r="1846" spans="1:97" ht="14.25" customHeight="1" x14ac:dyDescent="0.3">
      <c r="A1846" s="1" t="s">
        <v>1988</v>
      </c>
      <c r="B1846" s="1" t="str">
        <f ca="1">IFERROR(__xludf.DUMMYFUNCTION("GOOGLETRANSLATE(A1846, ""en"", ""fr"")"),"Exploitations")</f>
        <v>Exploitations</v>
      </c>
      <c r="D1846" s="1" t="s">
        <v>4963</v>
      </c>
    </row>
    <row r="1847" spans="1:97" ht="14.25" customHeight="1" x14ac:dyDescent="0.3">
      <c r="A1847" s="1" t="s">
        <v>1989</v>
      </c>
      <c r="B1847" s="1" t="str">
        <f ca="1">IFERROR(__xludf.DUMMYFUNCTION("GOOGLETRANSLATE(A1847, ""en"", ""fr"")"),"Exploitant")</f>
        <v>Exploitant</v>
      </c>
      <c r="D1847" s="1" t="s">
        <v>4963</v>
      </c>
    </row>
    <row r="1848" spans="1:97" ht="14.25" customHeight="1" x14ac:dyDescent="0.3">
      <c r="A1848" s="1" t="s">
        <v>1990</v>
      </c>
      <c r="B1848" s="1" t="str">
        <f ca="1">IFERROR(__xludf.DUMMYFUNCTION("GOOGLETRANSLATE(A1848, ""en"", ""fr"")"),"EXPLOITÉ")</f>
        <v>EXPLOITÉ</v>
      </c>
      <c r="D1848" s="1" t="s">
        <v>4963</v>
      </c>
    </row>
    <row r="1849" spans="1:97" ht="14.25" customHeight="1" x14ac:dyDescent="0.3">
      <c r="A1849" s="1" t="s">
        <v>1991</v>
      </c>
      <c r="B1849" s="1" t="str">
        <f ca="1">IFERROR(__xludf.DUMMYFUNCTION("GOOGLETRANSLATE(A1849, ""en"", ""fr"")"),"EXPLOITANT")</f>
        <v>EXPLOITANT</v>
      </c>
      <c r="D1849" s="1" t="s">
        <v>4963</v>
      </c>
    </row>
    <row r="1850" spans="1:97" ht="14.25" customHeight="1" x14ac:dyDescent="0.3">
      <c r="A1850" s="1" t="s">
        <v>1992</v>
      </c>
      <c r="B1850" s="1" t="str">
        <f ca="1">IFERROR(__xludf.DUMMYFUNCTION("GOOGLETRANSLATE(A1850, ""en"", ""fr"")"),"EXPLOITS")</f>
        <v>EXPLOITS</v>
      </c>
      <c r="D1850" s="1" t="s">
        <v>4963</v>
      </c>
    </row>
    <row r="1851" spans="1:97" ht="14.25" customHeight="1" x14ac:dyDescent="0.3">
      <c r="A1851" s="1" t="s">
        <v>1993</v>
      </c>
      <c r="B1851" s="1" t="str">
        <f ca="1">IFERROR(__xludf.DUMMYFUNCTION("GOOGLETRANSLATE(A1851, ""en"", ""fr"")"),"bloc d'exploration")</f>
        <v>bloc d'exploration</v>
      </c>
      <c r="AY1851" s="1" t="s">
        <v>48</v>
      </c>
      <c r="CS1851" s="1" t="s">
        <v>94</v>
      </c>
    </row>
    <row r="1852" spans="1:97" ht="14.25" customHeight="1" x14ac:dyDescent="0.3">
      <c r="A1852" s="1" t="s">
        <v>1994</v>
      </c>
      <c r="B1852" s="1" t="str">
        <f ca="1">IFERROR(__xludf.DUMMYFUNCTION("GOOGLETRANSLATE(A1852, ""en"", ""fr"")"),"blocs d'exploration")</f>
        <v>blocs d'exploration</v>
      </c>
      <c r="AY1852" s="1" t="s">
        <v>48</v>
      </c>
      <c r="CS1852" s="1" t="s">
        <v>94</v>
      </c>
    </row>
    <row r="1853" spans="1:97" ht="14.25" customHeight="1" x14ac:dyDescent="0.3">
      <c r="A1853" s="1" t="s">
        <v>1995</v>
      </c>
      <c r="B1853" s="1" t="str">
        <f ca="1">IFERROR(__xludf.DUMMYFUNCTION("GOOGLETRANSLATE(A1853, ""en"", ""fr"")"),"Exploration bien")</f>
        <v>Exploration bien</v>
      </c>
      <c r="AY1853" s="1" t="s">
        <v>48</v>
      </c>
      <c r="CS1853" s="1" t="s">
        <v>94</v>
      </c>
    </row>
    <row r="1854" spans="1:97" ht="14.25" customHeight="1" x14ac:dyDescent="0.3">
      <c r="A1854" s="1" t="s">
        <v>1996</v>
      </c>
      <c r="B1854" s="1" t="str">
        <f ca="1">IFERROR(__xludf.DUMMYFUNCTION("GOOGLETRANSLATE(A1854, ""en"", ""fr"")"),"prix d'exportation / importation")</f>
        <v>prix d'exportation / importation</v>
      </c>
      <c r="M1854" s="1" t="s">
        <v>10</v>
      </c>
    </row>
    <row r="1855" spans="1:97" ht="14.25" customHeight="1" x14ac:dyDescent="0.3">
      <c r="A1855" s="1" t="s">
        <v>1997</v>
      </c>
      <c r="B1855" s="1" t="str">
        <f ca="1">IFERROR(__xludf.DUMMYFUNCTION("GOOGLETRANSLATE(A1855, ""en"", ""fr"")"),"EXPOSER")</f>
        <v>EXPOSER</v>
      </c>
      <c r="D1855" s="1" t="s">
        <v>4963</v>
      </c>
    </row>
    <row r="1856" spans="1:97" ht="14.25" customHeight="1" x14ac:dyDescent="0.3">
      <c r="A1856" s="1" t="s">
        <v>1998</v>
      </c>
      <c r="B1856" s="1" t="str">
        <f ca="1">IFERROR(__xludf.DUMMYFUNCTION("GOOGLETRANSLATE(A1856, ""en"", ""fr"")"),"EXPOSÉ")</f>
        <v>EXPOSÉ</v>
      </c>
      <c r="D1856" s="1" t="s">
        <v>4963</v>
      </c>
    </row>
    <row r="1857" spans="1:143" ht="14.25" customHeight="1" x14ac:dyDescent="0.3">
      <c r="A1857" s="1" t="s">
        <v>1999</v>
      </c>
      <c r="B1857" s="1" t="str">
        <f ca="1">IFERROR(__xludf.DUMMYFUNCTION("GOOGLETRANSLATE(A1857, ""en"", ""fr"")"),"Exposés")</f>
        <v>Exposés</v>
      </c>
      <c r="D1857" s="1" t="s">
        <v>4963</v>
      </c>
    </row>
    <row r="1858" spans="1:143" ht="14.25" customHeight="1" x14ac:dyDescent="0.3">
      <c r="A1858" s="1" t="s">
        <v>2000</v>
      </c>
      <c r="B1858" s="1" t="str">
        <f ca="1">IFERROR(__xludf.DUMMYFUNCTION("GOOGLETRANSLATE(A1858, ""en"", ""fr"")"),"Exposant")</f>
        <v>Exposant</v>
      </c>
      <c r="D1858" s="1" t="s">
        <v>4963</v>
      </c>
    </row>
    <row r="1859" spans="1:143" ht="14.25" customHeight="1" x14ac:dyDescent="0.3">
      <c r="A1859" s="1" t="s">
        <v>2001</v>
      </c>
      <c r="B1859" s="1" t="str">
        <f ca="1">IFERROR(__xludf.DUMMYFUNCTION("GOOGLETRANSLATE(A1859, ""en"", ""fr"")"),"EXPROPRIER")</f>
        <v>EXPROPRIER</v>
      </c>
      <c r="D1859" s="1" t="s">
        <v>4963</v>
      </c>
    </row>
    <row r="1860" spans="1:143" ht="14.25" customHeight="1" x14ac:dyDescent="0.3">
      <c r="A1860" s="1" t="s">
        <v>2002</v>
      </c>
      <c r="B1860" s="1" t="str">
        <f ca="1">IFERROR(__xludf.DUMMYFUNCTION("GOOGLETRANSLATE(A1860, ""en"", ""fr"")"),"Exproprié")</f>
        <v>Exproprié</v>
      </c>
      <c r="D1860" s="1" t="s">
        <v>4963</v>
      </c>
    </row>
    <row r="1861" spans="1:143" ht="14.25" customHeight="1" x14ac:dyDescent="0.3">
      <c r="A1861" s="1" t="s">
        <v>2003</v>
      </c>
      <c r="B1861" s="1" t="str">
        <f ca="1">IFERROR(__xludf.DUMMYFUNCTION("GOOGLETRANSLATE(A1861, ""en"", ""fr"")"),"Exproprier")</f>
        <v>Exproprier</v>
      </c>
      <c r="D1861" s="1" t="s">
        <v>4963</v>
      </c>
    </row>
    <row r="1862" spans="1:143" ht="14.25" customHeight="1" x14ac:dyDescent="0.3">
      <c r="A1862" s="1" t="s">
        <v>2004</v>
      </c>
      <c r="B1862" s="1" t="str">
        <f ca="1">IFERROR(__xludf.DUMMYFUNCTION("GOOGLETRANSLATE(A1862, ""en"", ""fr"")"),"Expropriation")</f>
        <v>Expropriation</v>
      </c>
      <c r="D1862" s="1" t="s">
        <v>4963</v>
      </c>
    </row>
    <row r="1863" spans="1:143" ht="14.25" customHeight="1" x14ac:dyDescent="0.3">
      <c r="A1863" s="1" t="s">
        <v>2005</v>
      </c>
      <c r="B1863" s="1" t="str">
        <f ca="1">IFERROR(__xludf.DUMMYFUNCTION("GOOGLETRANSLATE(A1863, ""en"", ""fr"")"),"EXPROPRIATION")</f>
        <v>EXPROPRIATION</v>
      </c>
      <c r="D1863" s="1" t="s">
        <v>4963</v>
      </c>
    </row>
    <row r="1864" spans="1:143" ht="14.25" customHeight="1" x14ac:dyDescent="0.3">
      <c r="A1864" s="1" t="s">
        <v>2006</v>
      </c>
      <c r="B1864" s="1" t="str">
        <f ca="1">IFERROR(__xludf.DUMMYFUNCTION("GOOGLETRANSLATE(A1864, ""en"", ""fr"")"),"Expropriations")</f>
        <v>Expropriations</v>
      </c>
      <c r="D1864" s="1" t="s">
        <v>4963</v>
      </c>
    </row>
    <row r="1865" spans="1:143" ht="14.25" customHeight="1" x14ac:dyDescent="0.3">
      <c r="A1865" s="1" t="s">
        <v>2007</v>
      </c>
      <c r="B1865" s="1" t="str">
        <f ca="1">IFERROR(__xludf.DUMMYFUNCTION("GOOGLETRANSLATE(A1865, ""en"", ""fr"")"),"EXPULSION")</f>
        <v>EXPULSION</v>
      </c>
      <c r="D1865" s="1" t="s">
        <v>4963</v>
      </c>
    </row>
    <row r="1866" spans="1:143" ht="14.25" customHeight="1" x14ac:dyDescent="0.3">
      <c r="A1866" s="1" t="s">
        <v>2008</v>
      </c>
      <c r="B1866" s="1" t="str">
        <f ca="1">IFERROR(__xludf.DUMMYFUNCTION("GOOGLETRANSLATE(A1866, ""en"", ""fr"")"),"Expulsions")</f>
        <v>Expulsions</v>
      </c>
      <c r="D1866" s="1" t="s">
        <v>4963</v>
      </c>
    </row>
    <row r="1867" spans="1:143" ht="14.25" customHeight="1" x14ac:dyDescent="0.3">
      <c r="A1867" s="1" t="s">
        <v>2009</v>
      </c>
      <c r="B1867" s="1" t="str">
        <f ca="1">IFERROR(__xludf.DUMMYFUNCTION("GOOGLETRANSLATE(A1867, ""en"", ""fr"")"),"Money étendu")</f>
        <v>Money étendu</v>
      </c>
      <c r="M1867" s="1" t="s">
        <v>10</v>
      </c>
    </row>
    <row r="1868" spans="1:143" ht="14.25" customHeight="1" x14ac:dyDescent="0.3">
      <c r="A1868" s="1" t="s">
        <v>2010</v>
      </c>
      <c r="B1868" s="1" t="str">
        <f ca="1">IFERROR(__xludf.DUMMYFUNCTION("GOOGLETRANSLATE(A1868, ""en"", ""fr"")"),"Atténuant")</f>
        <v>Atténuant</v>
      </c>
      <c r="D1868" s="1" t="s">
        <v>4963</v>
      </c>
    </row>
    <row r="1869" spans="1:143" ht="14.25" customHeight="1" x14ac:dyDescent="0.3">
      <c r="A1869" s="1" t="s">
        <v>2011</v>
      </c>
      <c r="B1869" s="1" t="str">
        <f ca="1">IFERROR(__xludf.DUMMYFUNCTION("GOOGLETRANSLATE(A1869, ""en"", ""fr"")"),"externalité")</f>
        <v>externalité</v>
      </c>
      <c r="M1869" s="1" t="s">
        <v>10</v>
      </c>
    </row>
    <row r="1870" spans="1:143" ht="14.25" customHeight="1" x14ac:dyDescent="0.3">
      <c r="A1870" s="1" t="s">
        <v>2012</v>
      </c>
      <c r="B1870" s="1" t="str">
        <f ca="1">IFERROR(__xludf.DUMMYFUNCTION("GOOGLETRANSLATE(A1870, ""en"", ""fr"")"),"exxon")</f>
        <v>exxon</v>
      </c>
      <c r="BC1870" s="1" t="s">
        <v>52</v>
      </c>
      <c r="DT1870" s="1" t="s">
        <v>121</v>
      </c>
      <c r="EM1870" s="1" t="s">
        <v>140</v>
      </c>
    </row>
    <row r="1871" spans="1:143" ht="14.25" customHeight="1" x14ac:dyDescent="0.3">
      <c r="A1871" s="1" t="s">
        <v>2013</v>
      </c>
      <c r="B1871" s="1" t="str">
        <f ca="1">IFERROR(__xludf.DUMMYFUNCTION("GOOGLETRANSLATE(A1871, ""en"", ""fr"")"),"Exxon Mobil")</f>
        <v>Exxon Mobil</v>
      </c>
      <c r="BC1871" s="1" t="s">
        <v>52</v>
      </c>
      <c r="DT1871" s="1" t="s">
        <v>121</v>
      </c>
      <c r="EM1871" s="1" t="s">
        <v>140</v>
      </c>
    </row>
    <row r="1872" spans="1:143" ht="14.25" customHeight="1" x14ac:dyDescent="0.3">
      <c r="A1872" s="1" t="s">
        <v>2014</v>
      </c>
      <c r="B1872" s="1" t="str">
        <f ca="1">IFERROR(__xludf.DUMMYFUNCTION("GOOGLETRANSLATE(A1872, ""en"", ""fr"")"),"exxonmobil")</f>
        <v>exxonmobil</v>
      </c>
      <c r="BC1872" s="1" t="s">
        <v>52</v>
      </c>
      <c r="BI1872" s="1" t="s">
        <v>58</v>
      </c>
      <c r="DT1872" s="1" t="s">
        <v>121</v>
      </c>
    </row>
    <row r="1873" spans="1:143" ht="14.25" customHeight="1" x14ac:dyDescent="0.3">
      <c r="A1873" s="1" t="s">
        <v>2015</v>
      </c>
      <c r="B1873" s="1" t="str">
        <f ca="1">IFERROR(__xludf.DUMMYFUNCTION("GOOGLETRANSLATE(A1873, ""en"", ""fr"")"),"Exxonmobil")</f>
        <v>Exxonmobil</v>
      </c>
      <c r="BC1873" s="1" t="s">
        <v>52</v>
      </c>
      <c r="DT1873" s="1" t="s">
        <v>121</v>
      </c>
      <c r="EM1873" s="1" t="s">
        <v>140</v>
      </c>
    </row>
    <row r="1874" spans="1:143" ht="14.25" customHeight="1" x14ac:dyDescent="0.3">
      <c r="A1874" s="1" t="s">
        <v>2016</v>
      </c>
      <c r="B1874" s="1" t="str">
        <f ca="1">IFERROR(__xludf.DUMMYFUNCTION("GOOGLETRANSLATE(A1874, ""en"", ""fr"")"),"gousset. prix de la mine")</f>
        <v>gousset. prix de la mine</v>
      </c>
      <c r="CR1874" s="1" t="s">
        <v>93</v>
      </c>
    </row>
    <row r="1875" spans="1:143" ht="14.25" customHeight="1" x14ac:dyDescent="0.3">
      <c r="A1875" s="1" t="s">
        <v>2017</v>
      </c>
      <c r="B1875" s="1" t="str">
        <f ca="1">IFERROR(__xludf.DUMMYFUNCTION("GOOGLETRANSLATE(A1875, ""en"", ""fr"")"),"analyse factorielle")</f>
        <v>analyse factorielle</v>
      </c>
      <c r="M1875" s="1" t="s">
        <v>10</v>
      </c>
    </row>
    <row r="1876" spans="1:143" ht="14.25" customHeight="1" x14ac:dyDescent="0.3">
      <c r="A1876" s="1" t="s">
        <v>2018</v>
      </c>
      <c r="B1876" s="1" t="str">
        <f ca="1">IFERROR(__xludf.DUMMYFUNCTION("GOOGLETRANSLATE(A1876, ""en"", ""fr"")"),"marché de facteurs")</f>
        <v>marché de facteurs</v>
      </c>
      <c r="M1876" s="1" t="s">
        <v>10</v>
      </c>
    </row>
    <row r="1877" spans="1:143" ht="14.25" customHeight="1" x14ac:dyDescent="0.3">
      <c r="A1877" s="1" t="s">
        <v>2019</v>
      </c>
      <c r="B1877" s="1" t="str">
        <f ca="1">IFERROR(__xludf.DUMMYFUNCTION("GOOGLETRANSLATE(A1877, ""en"", ""fr"")"),"facteurs de production")</f>
        <v>facteurs de production</v>
      </c>
      <c r="M1877" s="1" t="s">
        <v>10</v>
      </c>
    </row>
    <row r="1878" spans="1:143" ht="14.25" customHeight="1" x14ac:dyDescent="0.3">
      <c r="A1878" s="1" t="s">
        <v>2020</v>
      </c>
      <c r="B1878" s="1" t="str">
        <f ca="1">IFERROR(__xludf.DUMMYFUNCTION("GOOGLETRANSLATE(A1878, ""en"", ""fr"")"),"ordres d'usine")</f>
        <v>ordres d'usine</v>
      </c>
      <c r="M1878" s="1" t="s">
        <v>10</v>
      </c>
    </row>
    <row r="1879" spans="1:143" ht="14.25" customHeight="1" x14ac:dyDescent="0.3">
      <c r="A1879" s="1" t="s">
        <v>2021</v>
      </c>
      <c r="B1879" s="1" t="str">
        <f ca="1">IFERROR(__xludf.DUMMYFUNCTION("GOOGLETRANSLATE(A1879, ""en"", ""fr"")"),"ÉCHOUER")</f>
        <v>ÉCHOUER</v>
      </c>
      <c r="D1879" s="1" t="s">
        <v>4963</v>
      </c>
    </row>
    <row r="1880" spans="1:143" ht="14.25" customHeight="1" x14ac:dyDescent="0.3">
      <c r="A1880" s="1" t="s">
        <v>2022</v>
      </c>
      <c r="B1880" s="1" t="str">
        <f ca="1">IFERROR(__xludf.DUMMYFUNCTION("GOOGLETRANSLATE(A1880, ""en"", ""fr"")"),"ÉCHOUÉ")</f>
        <v>ÉCHOUÉ</v>
      </c>
      <c r="D1880" s="1" t="s">
        <v>4963</v>
      </c>
    </row>
    <row r="1881" spans="1:143" ht="14.25" customHeight="1" x14ac:dyDescent="0.3">
      <c r="A1881" s="1" t="s">
        <v>2023</v>
      </c>
      <c r="B1881" s="1" t="str">
        <f ca="1">IFERROR(__xludf.DUMMYFUNCTION("GOOGLETRANSLATE(A1881, ""en"", ""fr"")"),"ÉCHOUER")</f>
        <v>ÉCHOUER</v>
      </c>
      <c r="D1881" s="1" t="s">
        <v>4963</v>
      </c>
    </row>
    <row r="1882" spans="1:143" ht="14.25" customHeight="1" x14ac:dyDescent="0.3">
      <c r="A1882" s="1" t="s">
        <v>2024</v>
      </c>
      <c r="B1882" s="1" t="str">
        <f ca="1">IFERROR(__xludf.DUMMYFUNCTION("GOOGLETRANSLATE(A1882, ""en"", ""fr"")"),"Échecs")</f>
        <v>Échecs</v>
      </c>
      <c r="D1882" s="1" t="s">
        <v>4963</v>
      </c>
    </row>
    <row r="1883" spans="1:143" ht="14.25" customHeight="1" x14ac:dyDescent="0.3">
      <c r="A1883" s="1" t="s">
        <v>2025</v>
      </c>
      <c r="B1883" s="1" t="str">
        <f ca="1">IFERROR(__xludf.DUMMYFUNCTION("GOOGLETRANSLATE(A1883, ""en"", ""fr"")"),"ÉCHOUE")</f>
        <v>ÉCHOUE</v>
      </c>
      <c r="D1883" s="1" t="s">
        <v>4963</v>
      </c>
    </row>
    <row r="1884" spans="1:143" ht="14.25" customHeight="1" x14ac:dyDescent="0.3">
      <c r="A1884" s="1" t="s">
        <v>2026</v>
      </c>
      <c r="B1884" s="1" t="str">
        <f ca="1">IFERROR(__xludf.DUMMYFUNCTION("GOOGLETRANSLATE(A1884, ""en"", ""fr"")"),"ÉCHEC")</f>
        <v>ÉCHEC</v>
      </c>
      <c r="D1884" s="1" t="s">
        <v>4963</v>
      </c>
    </row>
    <row r="1885" spans="1:143" ht="14.25" customHeight="1" x14ac:dyDescent="0.3">
      <c r="A1885" s="1" t="s">
        <v>2027</v>
      </c>
      <c r="B1885" s="1" t="str">
        <f ca="1">IFERROR(__xludf.DUMMYFUNCTION("GOOGLETRANSLATE(A1885, ""en"", ""fr"")"),"LES ÉCHECS")</f>
        <v>LES ÉCHECS</v>
      </c>
      <c r="D1885" s="1" t="s">
        <v>4963</v>
      </c>
    </row>
    <row r="1886" spans="1:143" ht="14.25" customHeight="1" x14ac:dyDescent="0.3">
      <c r="A1886" s="1" t="s">
        <v>2028</v>
      </c>
      <c r="B1886" s="1" t="str">
        <f ca="1">IFERROR(__xludf.DUMMYFUNCTION("GOOGLETRANSLATE(A1886, ""en"", ""fr"")"),"juste prix")</f>
        <v>juste prix</v>
      </c>
      <c r="M1886" s="1" t="s">
        <v>10</v>
      </c>
    </row>
    <row r="1887" spans="1:143" ht="14.25" customHeight="1" x14ac:dyDescent="0.3">
      <c r="A1887" s="1" t="s">
        <v>2029</v>
      </c>
      <c r="B1887" s="1" t="str">
        <f ca="1">IFERROR(__xludf.DUMMYFUNCTION("GOOGLETRANSLATE(A1887, ""en"", ""fr"")"),"Loi sur le commerce équitable")</f>
        <v>Loi sur le commerce équitable</v>
      </c>
      <c r="M1887" s="1" t="s">
        <v>10</v>
      </c>
    </row>
    <row r="1888" spans="1:143" ht="14.25" customHeight="1" x14ac:dyDescent="0.3">
      <c r="A1888" s="1" t="s">
        <v>2030</v>
      </c>
      <c r="B1888" s="1" t="str">
        <f ca="1">IFERROR(__xludf.DUMMYFUNCTION("GOOGLETRANSLATE(A1888, ""en"", ""fr"")"),"TOMBER")</f>
        <v>TOMBER</v>
      </c>
      <c r="D1888" s="1" t="s">
        <v>4963</v>
      </c>
    </row>
    <row r="1889" spans="1:108" ht="14.25" customHeight="1" x14ac:dyDescent="0.3">
      <c r="A1889" s="1" t="s">
        <v>2031</v>
      </c>
      <c r="B1889" s="1" t="str">
        <f ca="1">IFERROR(__xludf.DUMMYFUNCTION("GOOGLETRANSLATE(A1889, ""en"", ""fr"")"),"FAUSSEMENT")</f>
        <v>FAUSSEMENT</v>
      </c>
      <c r="D1889" s="1" t="s">
        <v>4963</v>
      </c>
    </row>
    <row r="1890" spans="1:108" ht="14.25" customHeight="1" x14ac:dyDescent="0.3">
      <c r="A1890" s="1" t="s">
        <v>2032</v>
      </c>
      <c r="B1890" s="1" t="str">
        <f ca="1">IFERROR(__xludf.DUMMYFUNCTION("GOOGLETRANSLATE(A1890, ""en"", ""fr"")"),"FALSIFICATION")</f>
        <v>FALSIFICATION</v>
      </c>
      <c r="D1890" s="1" t="s">
        <v>4963</v>
      </c>
    </row>
    <row r="1891" spans="1:108" ht="14.25" customHeight="1" x14ac:dyDescent="0.3">
      <c r="A1891" s="1" t="s">
        <v>2033</v>
      </c>
      <c r="B1891" s="1" t="str">
        <f ca="1">IFERROR(__xludf.DUMMYFUNCTION("GOOGLETRANSLATE(A1891, ""en"", ""fr"")"),"Falsification")</f>
        <v>Falsification</v>
      </c>
      <c r="D1891" s="1" t="s">
        <v>4963</v>
      </c>
    </row>
    <row r="1892" spans="1:108" ht="14.25" customHeight="1" x14ac:dyDescent="0.3">
      <c r="A1892" s="1" t="s">
        <v>2034</v>
      </c>
      <c r="B1892" s="1" t="str">
        <f ca="1">IFERROR(__xludf.DUMMYFUNCTION("GOOGLETRANSLATE(A1892, ""en"", ""fr"")"),"Falsifié")</f>
        <v>Falsifié</v>
      </c>
      <c r="D1892" s="1" t="s">
        <v>4963</v>
      </c>
    </row>
    <row r="1893" spans="1:108" ht="14.25" customHeight="1" x14ac:dyDescent="0.3">
      <c r="A1893" s="1" t="s">
        <v>2035</v>
      </c>
      <c r="B1893" s="1" t="str">
        <f ca="1">IFERROR(__xludf.DUMMYFUNCTION("GOOGLETRANSLATE(A1893, ""en"", ""fr"")"),"Falsification")</f>
        <v>Falsification</v>
      </c>
      <c r="D1893" s="1" t="s">
        <v>4963</v>
      </c>
    </row>
    <row r="1894" spans="1:108" ht="14.25" customHeight="1" x14ac:dyDescent="0.3">
      <c r="A1894" s="1" t="s">
        <v>2036</v>
      </c>
      <c r="B1894" s="1" t="str">
        <f ca="1">IFERROR(__xludf.DUMMYFUNCTION("GOOGLETRANSLATE(A1894, ""en"", ""fr"")"),"FALSIFIER")</f>
        <v>FALSIFIER</v>
      </c>
      <c r="D1894" s="1" t="s">
        <v>4963</v>
      </c>
    </row>
    <row r="1895" spans="1:108" ht="14.25" customHeight="1" x14ac:dyDescent="0.3">
      <c r="A1895" s="1" t="s">
        <v>2037</v>
      </c>
      <c r="B1895" s="1" t="str">
        <f ca="1">IFERROR(__xludf.DUMMYFUNCTION("GOOGLETRANSLATE(A1895, ""en"", ""fr"")"),"Falsification")</f>
        <v>Falsification</v>
      </c>
      <c r="D1895" s="1" t="s">
        <v>4963</v>
      </c>
    </row>
    <row r="1896" spans="1:108" ht="14.25" customHeight="1" x14ac:dyDescent="0.3">
      <c r="A1896" s="1" t="s">
        <v>2038</v>
      </c>
      <c r="B1896" s="1" t="str">
        <f ca="1">IFERROR(__xludf.DUMMYFUNCTION("GOOGLETRANSLATE(A1896, ""en"", ""fr"")"),"FAUSSETÉ")</f>
        <v>FAUSSETÉ</v>
      </c>
      <c r="D1896" s="1" t="s">
        <v>4963</v>
      </c>
    </row>
    <row r="1897" spans="1:108" ht="14.25" customHeight="1" x14ac:dyDescent="0.3">
      <c r="A1897" s="1" t="s">
        <v>2039</v>
      </c>
      <c r="B1897" s="1" t="str">
        <f ca="1">IFERROR(__xludf.DUMMYFUNCTION("GOOGLETRANSLATE(A1897, ""en"", ""fr"")"),"FANTASTIQUE")</f>
        <v>FANTASTIQUE</v>
      </c>
      <c r="H1897" s="1" t="s">
        <v>4964</v>
      </c>
    </row>
    <row r="1898" spans="1:108" ht="14.25" customHeight="1" x14ac:dyDescent="0.3">
      <c r="A1898" s="1" t="s">
        <v>2040</v>
      </c>
      <c r="B1898" s="1" t="str">
        <f ca="1">IFERROR(__xludf.DUMMYFUNCTION("GOOGLETRANSLATE(A1898, ""en"", ""fr"")"),"Ferme dans")</f>
        <v>Ferme dans</v>
      </c>
      <c r="AY1898" s="1" t="s">
        <v>48</v>
      </c>
    </row>
    <row r="1899" spans="1:108" ht="14.25" customHeight="1" x14ac:dyDescent="0.3">
      <c r="A1899" s="1" t="s">
        <v>2041</v>
      </c>
      <c r="B1899" s="1" t="str">
        <f ca="1">IFERROR(__xludf.DUMMYFUNCTION("GOOGLETRANSLATE(A1899, ""en"", ""fr"")"),"Faroozan-Marjan")</f>
        <v>Faroozan-Marjan</v>
      </c>
      <c r="AU1899" s="1" t="s">
        <v>44</v>
      </c>
      <c r="BS1899" s="1" t="s">
        <v>68</v>
      </c>
      <c r="DD1899" s="1" t="s">
        <v>105</v>
      </c>
    </row>
    <row r="1900" spans="1:108" ht="14.25" customHeight="1" x14ac:dyDescent="0.3">
      <c r="A1900" s="1" t="s">
        <v>2042</v>
      </c>
      <c r="B1900" s="1" t="str">
        <f ca="1">IFERROR(__xludf.DUMMYFUNCTION("GOOGLETRANSLATE(A1900, ""en"", ""fr"")"),"marché rapide")</f>
        <v>marché rapide</v>
      </c>
      <c r="M1900" s="1" t="s">
        <v>10</v>
      </c>
    </row>
    <row r="1901" spans="1:108" ht="14.25" customHeight="1" x14ac:dyDescent="0.3">
      <c r="A1901" s="1" t="s">
        <v>2043</v>
      </c>
      <c r="B1901" s="1" t="str">
        <f ca="1">IFERROR(__xludf.DUMMYFUNCTION("GOOGLETRANSLATE(A1901, ""en"", ""fr"")"),"Décès")</f>
        <v>Décès</v>
      </c>
      <c r="D1901" s="1" t="s">
        <v>4963</v>
      </c>
    </row>
    <row r="1902" spans="1:108" ht="14.25" customHeight="1" x14ac:dyDescent="0.3">
      <c r="A1902" s="1" t="s">
        <v>2044</v>
      </c>
      <c r="B1902" s="1" t="str">
        <f ca="1">IFERROR(__xludf.DUMMYFUNCTION("GOOGLETRANSLATE(A1902, ""en"", ""fr"")"),"FATALITÉ")</f>
        <v>FATALITÉ</v>
      </c>
      <c r="D1902" s="1" t="s">
        <v>4963</v>
      </c>
    </row>
    <row r="1903" spans="1:108" ht="14.25" customHeight="1" x14ac:dyDescent="0.3">
      <c r="A1903" s="1" t="s">
        <v>2045</v>
      </c>
      <c r="B1903" s="1" t="str">
        <f ca="1">IFERROR(__xludf.DUMMYFUNCTION("GOOGLETRANSLATE(A1903, ""en"", ""fr"")"),"MORTELLEMENT")</f>
        <v>MORTELLEMENT</v>
      </c>
      <c r="D1903" s="1" t="s">
        <v>4963</v>
      </c>
    </row>
    <row r="1904" spans="1:108" ht="14.25" customHeight="1" x14ac:dyDescent="0.3">
      <c r="A1904" s="1" t="s">
        <v>2046</v>
      </c>
      <c r="B1904" s="1" t="str">
        <f ca="1">IFERROR(__xludf.DUMMYFUNCTION("GOOGLETRANSLATE(A1904, ""en"", ""fr"")"),"Fateh")</f>
        <v>Fateh</v>
      </c>
      <c r="R1904" s="1" t="s">
        <v>15</v>
      </c>
      <c r="CS1904" s="1" t="s">
        <v>94</v>
      </c>
    </row>
    <row r="1905" spans="1:132" ht="14.25" customHeight="1" x14ac:dyDescent="0.3">
      <c r="A1905" s="1" t="s">
        <v>2047</v>
      </c>
      <c r="B1905" s="1" t="str">
        <f ca="1">IFERROR(__xludf.DUMMYFUNCTION("GOOGLETRANSLATE(A1905, ""en"", ""fr"")"),"FAUTE")</f>
        <v>FAUTE</v>
      </c>
      <c r="D1905" s="1" t="s">
        <v>4963</v>
      </c>
    </row>
    <row r="1906" spans="1:132" ht="14.25" customHeight="1" x14ac:dyDescent="0.3">
      <c r="A1906" s="1" t="s">
        <v>2048</v>
      </c>
      <c r="B1906" s="1" t="str">
        <f ca="1">IFERROR(__xludf.DUMMYFUNCTION("GOOGLETRANSLATE(A1906, ""en"", ""fr"")"),"Défaut")</f>
        <v>Défaut</v>
      </c>
      <c r="D1906" s="1" t="s">
        <v>4963</v>
      </c>
    </row>
    <row r="1907" spans="1:132" ht="14.25" customHeight="1" x14ac:dyDescent="0.3">
      <c r="A1907" s="1" t="s">
        <v>2049</v>
      </c>
      <c r="B1907" s="1" t="str">
        <f ca="1">IFERROR(__xludf.DUMMYFUNCTION("GOOGLETRANSLATE(A1907, ""en"", ""fr"")"),"DÉFAUTS")</f>
        <v>DÉFAUTS</v>
      </c>
      <c r="D1907" s="1" t="s">
        <v>4963</v>
      </c>
    </row>
    <row r="1908" spans="1:132" ht="14.25" customHeight="1" x14ac:dyDescent="0.3">
      <c r="A1908" s="1" t="s">
        <v>2050</v>
      </c>
      <c r="B1908" s="1" t="str">
        <f ca="1">IFERROR(__xludf.DUMMYFUNCTION("GOOGLETRANSLATE(A1908, ""en"", ""fr"")"),"DÉFECTUEUX")</f>
        <v>DÉFECTUEUX</v>
      </c>
      <c r="D1908" s="1" t="s">
        <v>4963</v>
      </c>
    </row>
    <row r="1909" spans="1:132" ht="14.25" customHeight="1" x14ac:dyDescent="0.3">
      <c r="A1909" s="1" t="s">
        <v>2051</v>
      </c>
      <c r="B1909" s="1" t="str">
        <f ca="1">IFERROR(__xludf.DUMMYFUNCTION("GOOGLETRANSLATE(A1909, ""en"", ""fr"")"),"FAVORABLE")</f>
        <v>FAVORABLE</v>
      </c>
      <c r="H1909" s="1" t="s">
        <v>4964</v>
      </c>
    </row>
    <row r="1910" spans="1:132" ht="14.25" customHeight="1" x14ac:dyDescent="0.3">
      <c r="A1910" s="1" t="s">
        <v>2052</v>
      </c>
      <c r="B1910" s="1" t="str">
        <f ca="1">IFERROR(__xludf.DUMMYFUNCTION("GOOGLETRANSLATE(A1910, ""en"", ""fr"")"),"Équilibre commercial favorable")</f>
        <v>Équilibre commercial favorable</v>
      </c>
      <c r="M1910" s="1" t="s">
        <v>10</v>
      </c>
    </row>
    <row r="1911" spans="1:132" ht="14.25" customHeight="1" x14ac:dyDescent="0.3">
      <c r="A1911" s="1" t="s">
        <v>2053</v>
      </c>
      <c r="B1911" s="1" t="str">
        <f ca="1">IFERROR(__xludf.DUMMYFUNCTION("GOOGLETRANSLATE(A1911, ""en"", ""fr"")"),"FAVORABLEMENT")</f>
        <v>FAVORABLEMENT</v>
      </c>
      <c r="H1911" s="1" t="s">
        <v>4964</v>
      </c>
    </row>
    <row r="1912" spans="1:132" ht="14.25" customHeight="1" x14ac:dyDescent="0.3">
      <c r="A1912" s="1" t="s">
        <v>2054</v>
      </c>
      <c r="B1912" s="1" t="str">
        <f ca="1">IFERROR(__xludf.DUMMYFUNCTION("GOOGLETRANSLATE(A1912, ""en"", ""fr"")"),"FAVORISÉ")</f>
        <v>FAVORISÉ</v>
      </c>
      <c r="H1912" s="1" t="s">
        <v>4964</v>
      </c>
    </row>
    <row r="1913" spans="1:132" ht="14.25" customHeight="1" x14ac:dyDescent="0.3">
      <c r="A1913" s="1" t="s">
        <v>2055</v>
      </c>
      <c r="B1913" s="1" t="str">
        <f ca="1">IFERROR(__xludf.DUMMYFUNCTION("GOOGLETRANSLATE(A1913, ""en"", ""fr"")"),"Favorisant")</f>
        <v>Favorisant</v>
      </c>
      <c r="H1913" s="1" t="s">
        <v>4964</v>
      </c>
    </row>
    <row r="1914" spans="1:132" ht="14.25" customHeight="1" x14ac:dyDescent="0.3">
      <c r="A1914" s="1" t="s">
        <v>2056</v>
      </c>
      <c r="B1914" s="1" t="str">
        <f ca="1">IFERROR(__xludf.DUMMYFUNCTION("GOOGLETRANSLATE(A1914, ""en"", ""fr"")"),"PRÉFÉRÉ")</f>
        <v>PRÉFÉRÉ</v>
      </c>
      <c r="H1914" s="1" t="s">
        <v>4964</v>
      </c>
    </row>
    <row r="1915" spans="1:132" ht="14.25" customHeight="1" x14ac:dyDescent="0.3">
      <c r="A1915" s="1" t="s">
        <v>2057</v>
      </c>
      <c r="B1915" s="1" t="str">
        <f ca="1">IFERROR(__xludf.DUMMYFUNCTION("GOOGLETRANSLATE(A1915, ""en"", ""fr"")"),"FAVORIS")</f>
        <v>FAVORIS</v>
      </c>
      <c r="H1915" s="1" t="s">
        <v>4964</v>
      </c>
    </row>
    <row r="1916" spans="1:132" ht="14.25" customHeight="1" x14ac:dyDescent="0.3">
      <c r="A1916" s="1" t="s">
        <v>2058</v>
      </c>
      <c r="B1916" s="1" t="str">
        <f ca="1">IFERROR(__xludf.DUMMYFUNCTION("GOOGLETRANSLATE(A1916, ""en"", ""fr"")"),"raffinerie de Fawley Southampton")</f>
        <v>raffinerie de Fawley Southampton</v>
      </c>
      <c r="Z1916" s="1" t="s">
        <v>23</v>
      </c>
      <c r="BC1916" s="1" t="s">
        <v>52</v>
      </c>
      <c r="BF1916" s="1" t="s">
        <v>55</v>
      </c>
      <c r="EB1916" s="1" t="s">
        <v>129</v>
      </c>
    </row>
    <row r="1917" spans="1:132" ht="14.25" customHeight="1" x14ac:dyDescent="0.3">
      <c r="A1917" s="1" t="s">
        <v>2059</v>
      </c>
      <c r="B1917" s="1" t="str">
        <f ca="1">IFERROR(__xludf.DUMMYFUNCTION("GOOGLETRANSLATE(A1917, ""en"", ""fr"")"),"PEUR")</f>
        <v>PEUR</v>
      </c>
      <c r="D1917" s="1" t="s">
        <v>4963</v>
      </c>
    </row>
    <row r="1918" spans="1:132" ht="14.25" customHeight="1" x14ac:dyDescent="0.3">
      <c r="A1918" s="1" t="s">
        <v>2060</v>
      </c>
      <c r="B1918" s="1" t="str">
        <f ca="1">IFERROR(__xludf.DUMMYFUNCTION("GOOGLETRANSLATE(A1918, ""en"", ""fr"")"),"CRAINTES")</f>
        <v>CRAINTES</v>
      </c>
      <c r="D1918" s="1" t="s">
        <v>4963</v>
      </c>
    </row>
    <row r="1919" spans="1:132" ht="14.25" customHeight="1" x14ac:dyDescent="0.3">
      <c r="A1919" s="1" t="s">
        <v>2061</v>
      </c>
      <c r="B1919" s="1" t="str">
        <f ca="1">IFERROR(__xludf.DUMMYFUNCTION("GOOGLETRANSLATE(A1919, ""en"", ""fr"")"),"fév")</f>
        <v>fév</v>
      </c>
      <c r="J1919" s="1" t="s">
        <v>7</v>
      </c>
    </row>
    <row r="1920" spans="1:132" ht="14.25" customHeight="1" x14ac:dyDescent="0.3">
      <c r="A1920" s="1" t="s">
        <v>2062</v>
      </c>
      <c r="B1920" s="1" t="str">
        <f ca="1">IFERROR(__xludf.DUMMYFUNCTION("GOOGLETRANSLATE(A1920, ""en"", ""fr"")"),"février")</f>
        <v>février</v>
      </c>
      <c r="J1920" s="1" t="s">
        <v>7</v>
      </c>
    </row>
    <row r="1921" spans="1:138" ht="14.25" customHeight="1" x14ac:dyDescent="0.3">
      <c r="A1921" s="1" t="s">
        <v>2063</v>
      </c>
      <c r="B1921" s="1" t="str">
        <f ca="1">IFERROR(__xludf.DUMMYFUNCTION("GOOGLETRANSLATE(A1921, ""en"", ""fr"")"),"nourris")</f>
        <v>nourris</v>
      </c>
      <c r="M1921" s="1" t="s">
        <v>10</v>
      </c>
    </row>
    <row r="1922" spans="1:138" ht="14.25" customHeight="1" x14ac:dyDescent="0.3">
      <c r="A1922" s="1" t="s">
        <v>2064</v>
      </c>
      <c r="B1922" s="1" t="str">
        <f ca="1">IFERROR(__xludf.DUMMYFUNCTION("GOOGLETRANSLATE(A1922, ""en"", ""fr"")"),"Biais nourri")</f>
        <v>Biais nourri</v>
      </c>
      <c r="M1922" s="1" t="s">
        <v>10</v>
      </c>
    </row>
    <row r="1923" spans="1:138" ht="14.25" customHeight="1" x14ac:dyDescent="0.3">
      <c r="A1923" s="1" t="s">
        <v>2065</v>
      </c>
      <c r="B1923" s="1" t="str">
        <f ca="1">IFERROR(__xludf.DUMMYFUNCTION("GOOGLETRANSLATE(A1923, ""en"", ""fr"")"),"président de la Fed")</f>
        <v>président de la Fed</v>
      </c>
      <c r="M1923" s="1" t="s">
        <v>10</v>
      </c>
    </row>
    <row r="1924" spans="1:138" ht="14.25" customHeight="1" x14ac:dyDescent="0.3">
      <c r="A1924" s="1" t="s">
        <v>2066</v>
      </c>
      <c r="B1924" s="1" t="str">
        <f ca="1">IFERROR(__xludf.DUMMYFUNCTION("GOOGLETRANSLATE(A1924, ""en"", ""fr"")"),"Pass Fed")</f>
        <v>Pass Fed</v>
      </c>
      <c r="M1924" s="1" t="s">
        <v>10</v>
      </c>
    </row>
    <row r="1925" spans="1:138" ht="14.25" customHeight="1" x14ac:dyDescent="0.3">
      <c r="A1925" s="1" t="s">
        <v>2067</v>
      </c>
      <c r="B1925" s="1" t="str">
        <f ca="1">IFERROR(__xludf.DUMMYFUNCTION("GOOGLETRANSLATE(A1925, ""en"", ""fr"")"),"Fed Speak")</f>
        <v>Fed Speak</v>
      </c>
      <c r="M1925" s="1" t="s">
        <v>10</v>
      </c>
    </row>
    <row r="1926" spans="1:138" ht="14.25" customHeight="1" x14ac:dyDescent="0.3">
      <c r="A1926" s="1" t="s">
        <v>2068</v>
      </c>
      <c r="B1926" s="1" t="str">
        <f ca="1">IFERROR(__xludf.DUMMYFUNCTION("GOOGLETRANSLATE(A1926, ""en"", ""fr"")"),"dette fédérale")</f>
        <v>dette fédérale</v>
      </c>
      <c r="M1926" s="1" t="s">
        <v>10</v>
      </c>
    </row>
    <row r="1927" spans="1:138" ht="14.25" customHeight="1" x14ac:dyDescent="0.3">
      <c r="A1927" s="1" t="s">
        <v>2069</v>
      </c>
      <c r="B1927" s="1" t="str">
        <f ca="1">IFERROR(__xludf.DUMMYFUNCTION("GOOGLETRANSLATE(A1927, ""en"", ""fr"")"),"déficit fédéral")</f>
        <v>déficit fédéral</v>
      </c>
      <c r="M1927" s="1" t="s">
        <v>10</v>
      </c>
    </row>
    <row r="1928" spans="1:138" ht="14.25" customHeight="1" x14ac:dyDescent="0.3">
      <c r="A1928" s="1" t="s">
        <v>2070</v>
      </c>
      <c r="B1928" s="1" t="str">
        <f ca="1">IFERROR(__xludf.DUMMYFUNCTION("GOOGLETRANSLATE(A1928, ""en"", ""fr"")"),"Commission de réglementation de l'énergie fédérale")</f>
        <v>Commission de réglementation de l'énergie fédérale</v>
      </c>
      <c r="EH1928" s="1" t="s">
        <v>135</v>
      </c>
    </row>
    <row r="1929" spans="1:138" ht="14.25" customHeight="1" x14ac:dyDescent="0.3">
      <c r="A1929" s="1" t="s">
        <v>2071</v>
      </c>
      <c r="B1929" s="1" t="str">
        <f ca="1">IFERROR(__xludf.DUMMYFUNCTION("GOOGLETRANSLATE(A1929, ""en"", ""fr"")"),"Taux de fonds fédéraux")</f>
        <v>Taux de fonds fédéraux</v>
      </c>
      <c r="M1929" s="1" t="s">
        <v>10</v>
      </c>
    </row>
    <row r="1930" spans="1:138" ht="14.25" customHeight="1" x14ac:dyDescent="0.3">
      <c r="A1930" s="1" t="s">
        <v>2072</v>
      </c>
      <c r="B1930" s="1" t="str">
        <f ca="1">IFERROR(__xludf.DUMMYFUNCTION("GOOGLETRANSLATE(A1930, ""en"", ""fr"")"),"Comité Fédéral du Marché Libre")</f>
        <v>Comité Fédéral du Marché Libre</v>
      </c>
      <c r="M1930" s="1" t="s">
        <v>10</v>
      </c>
    </row>
    <row r="1931" spans="1:138" ht="14.25" customHeight="1" x14ac:dyDescent="0.3">
      <c r="A1931" s="1" t="s">
        <v>2073</v>
      </c>
      <c r="B1931" s="1" t="str">
        <f ca="1">IFERROR(__xludf.DUMMYFUNCTION("GOOGLETRANSLATE(A1931, ""en"", ""fr"")"),"réserve fédérale")</f>
        <v>réserve fédérale</v>
      </c>
      <c r="M1931" s="1" t="s">
        <v>10</v>
      </c>
    </row>
    <row r="1932" spans="1:138" ht="14.25" customHeight="1" x14ac:dyDescent="0.3">
      <c r="A1932" s="1" t="s">
        <v>2074</v>
      </c>
      <c r="B1932" s="1" t="str">
        <f ca="1">IFERROR(__xludf.DUMMYFUNCTION("GOOGLETRANSLATE(A1932, ""en"", ""fr"")"),"Banque de réserve fédérale")</f>
        <v>Banque de réserve fédérale</v>
      </c>
      <c r="M1932" s="1" t="s">
        <v>10</v>
      </c>
    </row>
    <row r="1933" spans="1:138" ht="14.25" customHeight="1" x14ac:dyDescent="0.3">
      <c r="A1933" s="1" t="s">
        <v>2075</v>
      </c>
      <c r="B1933" s="1" t="str">
        <f ca="1">IFERROR(__xludf.DUMMYFUNCTION("GOOGLETRANSLATE(A1933, ""en"", ""fr"")"),"Conseil de la Réserve fédérale")</f>
        <v>Conseil de la Réserve fédérale</v>
      </c>
      <c r="M1933" s="1" t="s">
        <v>10</v>
      </c>
    </row>
    <row r="1934" spans="1:138" ht="14.25" customHeight="1" x14ac:dyDescent="0.3">
      <c r="A1934" s="1" t="s">
        <v>2076</v>
      </c>
      <c r="B1934" s="1" t="str">
        <f ca="1">IFERROR(__xludf.DUMMYFUNCTION("GOOGLETRANSLATE(A1934, ""en"", ""fr"")"),"Taux d'actualisation de la Réserve fédérale")</f>
        <v>Taux d'actualisation de la Réserve fédérale</v>
      </c>
      <c r="M1934" s="1" t="s">
        <v>10</v>
      </c>
    </row>
    <row r="1935" spans="1:138" ht="14.25" customHeight="1" x14ac:dyDescent="0.3">
      <c r="A1935" s="1" t="s">
        <v>2077</v>
      </c>
      <c r="B1935" s="1" t="str">
        <f ca="1">IFERROR(__xludf.DUMMYFUNCTION("GOOGLETRANSLATE(A1935, ""en"", ""fr"")"),"exigence de la Réserve fédérale")</f>
        <v>exigence de la Réserve fédérale</v>
      </c>
      <c r="M1935" s="1" t="s">
        <v>10</v>
      </c>
    </row>
    <row r="1936" spans="1:138" ht="14.25" customHeight="1" x14ac:dyDescent="0.3">
      <c r="A1936" s="1" t="s">
        <v>2078</v>
      </c>
      <c r="B1936" s="1" t="str">
        <f ca="1">IFERROR(__xludf.DUMMYFUNCTION("GOOGLETRANSLATE(A1936, ""en"", ""fr"")"),"système de réserve Fédérale")</f>
        <v>système de réserve Fédérale</v>
      </c>
      <c r="M1936" s="1" t="s">
        <v>10</v>
      </c>
    </row>
    <row r="1937" spans="1:142" ht="14.25" customHeight="1" x14ac:dyDescent="0.3">
      <c r="A1937" s="1" t="s">
        <v>2079</v>
      </c>
      <c r="B1937" s="1" t="str">
        <f ca="1">IFERROR(__xludf.DUMMYFUNCTION("GOOGLETRANSLATE(A1937, ""en"", ""fr"")"),"Réseau Federal Reserve Wire")</f>
        <v>Réseau Federal Reserve Wire</v>
      </c>
      <c r="M1937" s="1" t="s">
        <v>10</v>
      </c>
    </row>
    <row r="1938" spans="1:142" ht="14.25" customHeight="1" x14ac:dyDescent="0.3">
      <c r="A1938" s="1" t="s">
        <v>2080</v>
      </c>
      <c r="B1938" s="1" t="str">
        <f ca="1">IFERROR(__xludf.DUMMYFUNCTION("GOOGLETRANSLATE(A1938, ""en"", ""fr"")"),"surplus fédéral")</f>
        <v>surplus fédéral</v>
      </c>
      <c r="M1938" s="1" t="s">
        <v>10</v>
      </c>
    </row>
    <row r="1939" spans="1:142" ht="14.25" customHeight="1" x14ac:dyDescent="0.3">
      <c r="A1939" s="1" t="s">
        <v>2081</v>
      </c>
      <c r="B1939" s="1" t="str">
        <f ca="1">IFERROR(__xludf.DUMMYFUNCTION("GOOGLETRANSLATE(A1939, ""en"", ""fr"")"),"Commission fédérale du commerce")</f>
        <v>Commission fédérale du commerce</v>
      </c>
      <c r="M1939" s="1" t="s">
        <v>10</v>
      </c>
    </row>
    <row r="1940" spans="1:142" ht="14.25" customHeight="1" x14ac:dyDescent="0.3">
      <c r="A1940" s="1" t="s">
        <v>2082</v>
      </c>
      <c r="B1940" s="1" t="str">
        <f ca="1">IFERROR(__xludf.DUMMYFUNCTION("GOOGLETRANSLATE(A1940, ""en"", ""fr"")"),"Loi fédérale sur la taxe sur le chômage")</f>
        <v>Loi fédérale sur la taxe sur le chômage</v>
      </c>
      <c r="M1940" s="1" t="s">
        <v>10</v>
      </c>
    </row>
    <row r="1941" spans="1:142" ht="14.25" customHeight="1" x14ac:dyDescent="0.3">
      <c r="A1941" s="1" t="s">
        <v>2083</v>
      </c>
      <c r="B1941" s="1" t="str">
        <f ca="1">IFERROR(__xludf.DUMMYFUNCTION("GOOGLETRANSLATE(A1941, ""en"", ""fr"")"),"Crimes")</f>
        <v>Crimes</v>
      </c>
      <c r="D1941" s="1" t="s">
        <v>4963</v>
      </c>
    </row>
    <row r="1942" spans="1:142" ht="14.25" customHeight="1" x14ac:dyDescent="0.3">
      <c r="A1942" s="1" t="s">
        <v>2084</v>
      </c>
      <c r="B1942" s="1" t="str">
        <f ca="1">IFERROR(__xludf.DUMMYFUNCTION("GOOGLETRANSLATE(A1942, ""en"", ""fr"")"),"CRIMINEL")</f>
        <v>CRIMINEL</v>
      </c>
      <c r="D1942" s="1" t="s">
        <v>4963</v>
      </c>
    </row>
    <row r="1943" spans="1:142" ht="14.25" customHeight="1" x14ac:dyDescent="0.3">
      <c r="A1943" s="1" t="s">
        <v>2085</v>
      </c>
      <c r="B1943" s="1" t="str">
        <f ca="1">IFERROR(__xludf.DUMMYFUNCTION("GOOGLETRANSLATE(A1943, ""en"", ""fr"")"),"CRIME")</f>
        <v>CRIME</v>
      </c>
      <c r="D1943" s="1" t="s">
        <v>4963</v>
      </c>
    </row>
    <row r="1944" spans="1:142" ht="14.25" customHeight="1" x14ac:dyDescent="0.3">
      <c r="A1944" s="1" t="s">
        <v>2086</v>
      </c>
      <c r="B1944" s="1" t="str">
        <f ca="1">IFERROR(__xludf.DUMMYFUNCTION("GOOGLETRANSLATE(A1944, ""en"", ""fr"")"),"Ferdows / Mound / Zagheh")</f>
        <v>Ferdows / Mound / Zagheh</v>
      </c>
      <c r="AU1944" s="1" t="s">
        <v>44</v>
      </c>
      <c r="BK1944" s="1" t="s">
        <v>60</v>
      </c>
      <c r="DD1944" s="1" t="s">
        <v>105</v>
      </c>
    </row>
    <row r="1945" spans="1:142" ht="14.25" customHeight="1" x14ac:dyDescent="0.3">
      <c r="A1945" s="1" t="s">
        <v>2087</v>
      </c>
      <c r="B1945" s="1" t="str">
        <f ca="1">IFERROR(__xludf.DUMMYFUNCTION("GOOGLETRANSLATE(A1945, ""en"", ""fr"")"),"monnaie fiduciaire")</f>
        <v>monnaie fiduciaire</v>
      </c>
      <c r="M1945" s="1" t="s">
        <v>10</v>
      </c>
    </row>
    <row r="1946" spans="1:142" ht="14.25" customHeight="1" x14ac:dyDescent="0.3">
      <c r="A1946" s="1" t="s">
        <v>2088</v>
      </c>
      <c r="B1946" s="1" t="str">
        <f ca="1">IFERROR(__xludf.DUMMYFUNCTION("GOOGLETRANSLATE(A1946, ""en"", ""fr"")"),"FICTIF")</f>
        <v>FICTIF</v>
      </c>
      <c r="D1946" s="1" t="s">
        <v>4963</v>
      </c>
    </row>
    <row r="1947" spans="1:142" ht="14.25" customHeight="1" x14ac:dyDescent="0.3">
      <c r="A1947" s="1" t="s">
        <v>105</v>
      </c>
      <c r="B1947" s="1" t="str">
        <f ca="1">IFERROR(__xludf.DUMMYFUNCTION("GOOGLETRANSLATE(A1947, ""en"", ""fr"")"),"Champ")</f>
        <v>Champ</v>
      </c>
      <c r="E1947" s="1" t="s">
        <v>3</v>
      </c>
    </row>
    <row r="1948" spans="1:142" ht="14.25" customHeight="1" x14ac:dyDescent="0.3">
      <c r="A1948" s="1" t="s">
        <v>2089</v>
      </c>
      <c r="B1948" s="1" t="str">
        <f ca="1">IFERROR(__xludf.DUMMYFUNCTION("GOOGLETRANSLATE(A1948, ""en"", ""fr"")"),"Field Gas naturel")</f>
        <v>Field Gas naturel</v>
      </c>
      <c r="EL1948" s="1" t="s">
        <v>139</v>
      </c>
    </row>
    <row r="1949" spans="1:142" ht="14.25" customHeight="1" x14ac:dyDescent="0.3">
      <c r="A1949" s="1" t="s">
        <v>2090</v>
      </c>
      <c r="B1949" s="1" t="str">
        <f ca="1">IFERROR(__xludf.DUMMYFUNCTION("GOOGLETRANSLATE(A1949, ""en"", ""fr"")"),"Nomenclature de champ")</f>
        <v>Nomenclature de champ</v>
      </c>
      <c r="E1949" s="1" t="s">
        <v>3</v>
      </c>
    </row>
    <row r="1950" spans="1:142" ht="14.25" customHeight="1" x14ac:dyDescent="0.3">
      <c r="A1950" s="1" t="s">
        <v>2091</v>
      </c>
      <c r="B1950" s="1" t="str">
        <f ca="1">IFERROR(__xludf.DUMMYFUNCTION("GOOGLETRANSLATE(A1950, ""en"", ""fr"")"),"Champ de champ")</f>
        <v>Champ de champ</v>
      </c>
      <c r="E1950" s="1" t="s">
        <v>3</v>
      </c>
    </row>
    <row r="1951" spans="1:142" ht="14.25" customHeight="1" x14ac:dyDescent="0.3">
      <c r="A1951" s="1" t="s">
        <v>2092</v>
      </c>
      <c r="B1951" s="1" t="str">
        <f ca="1">IFERROR(__xludf.DUMMYFUNCTION("GOOGLETRANSLATE(A1951, ""en"", ""fr"")"),"Fifre")</f>
        <v>Fifre</v>
      </c>
      <c r="R1951" s="1" t="s">
        <v>15</v>
      </c>
      <c r="CS1951" s="1" t="s">
        <v>94</v>
      </c>
    </row>
    <row r="1952" spans="1:142" ht="14.25" customHeight="1" x14ac:dyDescent="0.3">
      <c r="A1952" s="1" t="s">
        <v>2093</v>
      </c>
      <c r="B1952" s="1" t="str">
        <f ca="1">IFERROR(__xludf.DUMMYFUNCTION("GOOGLETRANSLATE(A1952, ""en"", ""fr"")"),"fifo")</f>
        <v>fifo</v>
      </c>
      <c r="CR1952" s="1" t="s">
        <v>93</v>
      </c>
    </row>
    <row r="1953" spans="1:136" ht="14.25" customHeight="1" x14ac:dyDescent="0.3">
      <c r="A1953" s="1" t="s">
        <v>2094</v>
      </c>
      <c r="B1953" s="1" t="str">
        <f ca="1">IFERROR(__xludf.DUMMYFUNCTION("GOOGLETRANSLATE(A1953, ""en"", ""fr"")"),"termes financiers")</f>
        <v>termes financiers</v>
      </c>
      <c r="CR1953" s="1" t="s">
        <v>93</v>
      </c>
    </row>
    <row r="1954" spans="1:136" ht="14.25" customHeight="1" x14ac:dyDescent="0.3">
      <c r="A1954" s="1" t="s">
        <v>2095</v>
      </c>
      <c r="B1954" s="1" t="str">
        <f ca="1">IFERROR(__xludf.DUMMYFUNCTION("GOOGLETRANSLATE(A1954, ""en"", ""fr"")"),"financier")</f>
        <v>financier</v>
      </c>
      <c r="M1954" s="1" t="s">
        <v>10</v>
      </c>
    </row>
    <row r="1955" spans="1:136" ht="14.25" customHeight="1" x14ac:dyDescent="0.3">
      <c r="A1955" s="1" t="s">
        <v>2096</v>
      </c>
      <c r="B1955" s="1" t="str">
        <f ca="1">IFERROR(__xludf.DUMMYFUNCTION("GOOGLETRANSLATE(A1955, ""en"", ""fr"")"),"crise financière")</f>
        <v>crise financière</v>
      </c>
      <c r="AO1955" s="1" t="s">
        <v>38</v>
      </c>
      <c r="CR1955" s="1" t="s">
        <v>93</v>
      </c>
    </row>
    <row r="1956" spans="1:136" ht="14.25" customHeight="1" x14ac:dyDescent="0.3">
      <c r="A1956" s="1" t="s">
        <v>2097</v>
      </c>
      <c r="B1956" s="1" t="str">
        <f ca="1">IFERROR(__xludf.DUMMYFUNCTION("GOOGLETRANSLATE(A1956, ""en"", ""fr"")"),"prévision financière")</f>
        <v>prévision financière</v>
      </c>
      <c r="CR1956" s="1" t="s">
        <v>93</v>
      </c>
    </row>
    <row r="1957" spans="1:136" ht="14.25" customHeight="1" x14ac:dyDescent="0.3">
      <c r="A1957" s="1" t="s">
        <v>2098</v>
      </c>
      <c r="B1957" s="1" t="str">
        <f ca="1">IFERROR(__xludf.DUMMYFUNCTION("GOOGLETRANSLATE(A1957, ""en"", ""fr"")"),"risque financier")</f>
        <v>risque financier</v>
      </c>
      <c r="CR1957" s="1" t="s">
        <v>93</v>
      </c>
      <c r="EF1957" s="1" t="s">
        <v>133</v>
      </c>
    </row>
    <row r="1958" spans="1:136" ht="14.25" customHeight="1" x14ac:dyDescent="0.3">
      <c r="A1958" s="1" t="s">
        <v>2099</v>
      </c>
      <c r="B1958" s="1" t="str">
        <f ca="1">IFERROR(__xludf.DUMMYFUNCTION("GOOGLETRANSLATE(A1958, ""en"", ""fr"")"),"Une amende")</f>
        <v>Une amende</v>
      </c>
      <c r="D1958" s="1" t="s">
        <v>4963</v>
      </c>
    </row>
    <row r="1959" spans="1:136" ht="14.25" customHeight="1" x14ac:dyDescent="0.3">
      <c r="A1959" s="1" t="s">
        <v>2100</v>
      </c>
      <c r="B1959" s="1" t="str">
        <f ca="1">IFERROR(__xludf.DUMMYFUNCTION("GOOGLETRANSLATE(A1959, ""en"", ""fr"")"),"Amendes")</f>
        <v>Amendes</v>
      </c>
      <c r="D1959" s="1" t="s">
        <v>4963</v>
      </c>
    </row>
    <row r="1960" spans="1:136" ht="14.25" customHeight="1" x14ac:dyDescent="0.3">
      <c r="A1960" s="1" t="s">
        <v>2101</v>
      </c>
      <c r="B1960" s="1" t="str">
        <f ca="1">IFERROR(__xludf.DUMMYFUNCTION("GOOGLETRANSLATE(A1960, ""en"", ""fr"")"),"marchandises finies")</f>
        <v>marchandises finies</v>
      </c>
      <c r="CR1960" s="1" t="s">
        <v>93</v>
      </c>
    </row>
    <row r="1961" spans="1:136" ht="14.25" customHeight="1" x14ac:dyDescent="0.3">
      <c r="A1961" s="1" t="s">
        <v>2102</v>
      </c>
      <c r="B1961" s="1" t="str">
        <f ca="1">IFERROR(__xludf.DUMMYFUNCTION("GOOGLETRANSLATE(A1961, ""en"", ""fr"")"),"inondation")</f>
        <v>inondation</v>
      </c>
      <c r="CS1961" s="1" t="s">
        <v>94</v>
      </c>
    </row>
    <row r="1962" spans="1:136" ht="14.25" customHeight="1" x14ac:dyDescent="0.3">
      <c r="A1962" s="1" t="s">
        <v>2103</v>
      </c>
      <c r="B1962" s="1" t="str">
        <f ca="1">IFERROR(__xludf.DUMMYFUNCTION("GOOGLETRANSLATE(A1962, ""en"", ""fr"")"),"LICENCIÉ")</f>
        <v>LICENCIÉ</v>
      </c>
      <c r="D1962" s="1" t="s">
        <v>4963</v>
      </c>
    </row>
    <row r="1963" spans="1:136" ht="14.25" customHeight="1" x14ac:dyDescent="0.3">
      <c r="A1963" s="1" t="s">
        <v>2104</v>
      </c>
      <c r="B1963" s="1" t="str">
        <f ca="1">IFERROR(__xludf.DUMMYFUNCTION("GOOGLETRANSLATE(A1963, ""en"", ""fr"")"),"CUISSON")</f>
        <v>CUISSON</v>
      </c>
      <c r="D1963" s="1" t="s">
        <v>4963</v>
      </c>
    </row>
    <row r="1964" spans="1:136" ht="14.25" customHeight="1" x14ac:dyDescent="0.3">
      <c r="A1964" s="1" t="s">
        <v>2105</v>
      </c>
      <c r="B1964" s="1" t="str">
        <f ca="1">IFERROR(__xludf.DUMMYFUNCTION("GOOGLETRANSLATE(A1964, ""en"", ""fr"")"),"premier entré, premier sorti")</f>
        <v>premier entré, premier sorti</v>
      </c>
      <c r="CR1964" s="1" t="s">
        <v>93</v>
      </c>
    </row>
    <row r="1965" spans="1:136" ht="14.25" customHeight="1" x14ac:dyDescent="0.3">
      <c r="A1965" s="1" t="s">
        <v>2106</v>
      </c>
      <c r="B1965" s="1" t="str">
        <f ca="1">IFERROR(__xludf.DUMMYFUNCTION("GOOGLETRANSLATE(A1965, ""en"", ""fr"")"),"fiscal")</f>
        <v>fiscal</v>
      </c>
      <c r="M1965" s="1" t="s">
        <v>10</v>
      </c>
    </row>
    <row r="1966" spans="1:136" ht="14.25" customHeight="1" x14ac:dyDescent="0.3">
      <c r="A1966" s="1" t="s">
        <v>2107</v>
      </c>
      <c r="B1966" s="1" t="str">
        <f ca="1">IFERROR(__xludf.DUMMYFUNCTION("GOOGLETRANSLATE(A1966, ""en"", ""fr"")"),"forfait fiscal")</f>
        <v>forfait fiscal</v>
      </c>
      <c r="M1966" s="1" t="s">
        <v>10</v>
      </c>
    </row>
    <row r="1967" spans="1:136" ht="14.25" customHeight="1" x14ac:dyDescent="0.3">
      <c r="A1967" s="1" t="s">
        <v>2108</v>
      </c>
      <c r="B1967" s="1" t="str">
        <f ca="1">IFERROR(__xludf.DUMMYFUNCTION("GOOGLETRANSLATE(A1967, ""en"", ""fr"")"),"politique fiscale")</f>
        <v>politique fiscale</v>
      </c>
      <c r="M1967" s="1" t="s">
        <v>10</v>
      </c>
    </row>
    <row r="1968" spans="1:136" ht="14.25" customHeight="1" x14ac:dyDescent="0.3">
      <c r="A1968" s="1" t="s">
        <v>2109</v>
      </c>
      <c r="B1968" s="1" t="str">
        <f ca="1">IFERROR(__xludf.DUMMYFUNCTION("GOOGLETRANSLATE(A1968, ""en"", ""fr"")"),"exercice fiscal")</f>
        <v>exercice fiscal</v>
      </c>
      <c r="CR1968" s="1" t="s">
        <v>93</v>
      </c>
    </row>
    <row r="1969" spans="1:132" ht="14.25" customHeight="1" x14ac:dyDescent="0.3">
      <c r="A1969" s="1" t="s">
        <v>2110</v>
      </c>
      <c r="B1969" s="1" t="str">
        <f ca="1">IFERROR(__xludf.DUMMYFUNCTION("GOOGLETRANSLATE(A1969, ""en"", ""fr"")"),"fin de l'année fiscale")</f>
        <v>fin de l'année fiscale</v>
      </c>
      <c r="CR1969" s="1" t="s">
        <v>93</v>
      </c>
    </row>
    <row r="1970" spans="1:132" ht="14.25" customHeight="1" x14ac:dyDescent="0.3">
      <c r="A1970" s="1" t="s">
        <v>2111</v>
      </c>
      <c r="B1970" s="1" t="str">
        <f ca="1">IFERROR(__xludf.DUMMYFUNCTION("GOOGLETRANSLATE(A1970, ""en"", ""fr"")"),"Poisson")</f>
        <v>Poisson</v>
      </c>
      <c r="E1970" s="1" t="s">
        <v>3</v>
      </c>
    </row>
    <row r="1971" spans="1:132" ht="14.25" customHeight="1" x14ac:dyDescent="0.3">
      <c r="A1971" s="1" t="s">
        <v>2112</v>
      </c>
      <c r="B1971" s="1" t="str">
        <f ca="1">IFERROR(__xludf.DUMMYFUNCTION("GOOGLETRANSLATE(A1971, ""en"", ""fr"")"),"effet de pêcheur")</f>
        <v>effet de pêcheur</v>
      </c>
      <c r="M1971" s="1" t="s">
        <v>10</v>
      </c>
    </row>
    <row r="1972" spans="1:132" ht="14.25" customHeight="1" x14ac:dyDescent="0.3">
      <c r="A1972" s="1" t="s">
        <v>2113</v>
      </c>
      <c r="B1972" s="1" t="str">
        <f ca="1">IFERROR(__xludf.DUMMYFUNCTION("GOOGLETRANSLATE(A1972, ""en"", ""fr"")"),"Théorème de séparation des pêcheurs")</f>
        <v>Théorème de séparation des pêcheurs</v>
      </c>
      <c r="M1972" s="1" t="s">
        <v>10</v>
      </c>
    </row>
    <row r="1973" spans="1:132" ht="14.25" customHeight="1" x14ac:dyDescent="0.3">
      <c r="A1973" s="1" t="s">
        <v>2114</v>
      </c>
      <c r="B1973" s="1" t="str">
        <f ca="1">IFERROR(__xludf.DUMMYFUNCTION("GOOGLETRANSLATE(A1973, ""en"", ""fr"")"),"immobilisation")</f>
        <v>immobilisation</v>
      </c>
      <c r="CR1973" s="1" t="s">
        <v>93</v>
      </c>
    </row>
    <row r="1974" spans="1:132" ht="14.25" customHeight="1" x14ac:dyDescent="0.3">
      <c r="A1974" s="1" t="s">
        <v>2115</v>
      </c>
      <c r="B1974" s="1" t="str">
        <f ca="1">IFERROR(__xludf.DUMMYFUNCTION("GOOGLETRANSLATE(A1974, ""en"", ""fr"")"),"Ratio d'actifs fixes / tangibles")</f>
        <v>Ratio d'actifs fixes / tangibles</v>
      </c>
      <c r="CR1974" s="1" t="s">
        <v>93</v>
      </c>
    </row>
    <row r="1975" spans="1:132" ht="14.25" customHeight="1" x14ac:dyDescent="0.3">
      <c r="A1975" s="1" t="s">
        <v>2116</v>
      </c>
      <c r="B1975" s="1" t="str">
        <f ca="1">IFERROR(__xludf.DUMMYFUNCTION("GOOGLETRANSLATE(A1975, ""en"", ""fr"")"),"coûts fixes")</f>
        <v>coûts fixes</v>
      </c>
      <c r="CR1975" s="1" t="s">
        <v>93</v>
      </c>
    </row>
    <row r="1976" spans="1:132" ht="14.25" customHeight="1" x14ac:dyDescent="0.3">
      <c r="A1976" s="1" t="s">
        <v>2117</v>
      </c>
      <c r="B1976" s="1" t="str">
        <f ca="1">IFERROR(__xludf.DUMMYFUNCTION("GOOGLETRANSLATE(A1976, ""en"", ""fr"")"),"densité fixe")</f>
        <v>densité fixe</v>
      </c>
      <c r="M1976" s="1" t="s">
        <v>10</v>
      </c>
    </row>
    <row r="1977" spans="1:132" ht="14.25" customHeight="1" x14ac:dyDescent="0.3">
      <c r="A1977" s="1" t="s">
        <v>2118</v>
      </c>
      <c r="B1977" s="1" t="str">
        <f ca="1">IFERROR(__xludf.DUMMYFUNCTION("GOOGLETRANSLATE(A1977, ""en"", ""fr"")"),"Pile d'épluche")</f>
        <v>Pile d'épluche</v>
      </c>
      <c r="E1977" s="1" t="s">
        <v>3</v>
      </c>
    </row>
    <row r="1978" spans="1:132" ht="14.25" customHeight="1" x14ac:dyDescent="0.3">
      <c r="A1978" s="1" t="s">
        <v>2119</v>
      </c>
      <c r="B1978" s="1" t="str">
        <f ca="1">IFERROR(__xludf.DUMMYFUNCTION("GOOGLETRANSLATE(A1978, ""en"", ""fr"")"),"Évasant et ventilation")</f>
        <v>Évasant et ventilation</v>
      </c>
      <c r="E1978" s="1" t="s">
        <v>3</v>
      </c>
    </row>
    <row r="1979" spans="1:132" ht="14.25" customHeight="1" x14ac:dyDescent="0.3">
      <c r="A1979" s="1" t="s">
        <v>2120</v>
      </c>
      <c r="B1979" s="1" t="str">
        <f ca="1">IFERROR(__xludf.DUMMYFUNCTION("GOOGLETRANSLATE(A1979, ""en"", ""fr"")"),"Point d'éclair")</f>
        <v>Point d'éclair</v>
      </c>
      <c r="E1979" s="1" t="s">
        <v>3</v>
      </c>
    </row>
    <row r="1980" spans="1:132" ht="14.25" customHeight="1" x14ac:dyDescent="0.3">
      <c r="A1980" s="1" t="s">
        <v>2121</v>
      </c>
      <c r="B1980" s="1" t="str">
        <f ca="1">IFERROR(__xludf.DUMMYFUNCTION("GOOGLETRANSLATE(A1980, ""en"", ""fr"")"),"DÉFAUT")</f>
        <v>DÉFAUT</v>
      </c>
      <c r="D1980" s="1" t="s">
        <v>4963</v>
      </c>
    </row>
    <row r="1981" spans="1:132" ht="14.25" customHeight="1" x14ac:dyDescent="0.3">
      <c r="A1981" s="1" t="s">
        <v>2122</v>
      </c>
      <c r="B1981" s="1" t="str">
        <f ca="1">IFERROR(__xludf.DUMMYFUNCTION("GOOGLETRANSLATE(A1981, ""en"", ""fr"")"),"DÉFECTUEUX")</f>
        <v>DÉFECTUEUX</v>
      </c>
      <c r="D1981" s="1" t="s">
        <v>4963</v>
      </c>
    </row>
    <row r="1982" spans="1:132" ht="14.25" customHeight="1" x14ac:dyDescent="0.3">
      <c r="A1982" s="1" t="s">
        <v>2123</v>
      </c>
      <c r="B1982" s="1" t="str">
        <f ca="1">IFERROR(__xludf.DUMMYFUNCTION("GOOGLETRANSLATE(A1982, ""en"", ""fr"")"),"DÉFAUTS")</f>
        <v>DÉFAUTS</v>
      </c>
      <c r="D1982" s="1" t="s">
        <v>4963</v>
      </c>
    </row>
    <row r="1983" spans="1:132" ht="14.25" customHeight="1" x14ac:dyDescent="0.3">
      <c r="A1983" s="1" t="s">
        <v>2124</v>
      </c>
      <c r="B1983" s="1" t="str">
        <f ca="1">IFERROR(__xludf.DUMMYFUNCTION("GOOGLETRANSLATE(A1983, ""en"", ""fr"")"),"dépenses flexibles")</f>
        <v>dépenses flexibles</v>
      </c>
      <c r="M1983" s="1" t="s">
        <v>10</v>
      </c>
    </row>
    <row r="1984" spans="1:132" ht="14.25" customHeight="1" x14ac:dyDescent="0.3">
      <c r="A1984" s="1" t="s">
        <v>2125</v>
      </c>
      <c r="B1984" s="1" t="str">
        <f ca="1">IFERROR(__xludf.DUMMYFUNCTION("GOOGLETRANSLATE(A1984, ""en"", ""fr"")"),"Ressources de Flint Hills")</f>
        <v>Ressources de Flint Hills</v>
      </c>
      <c r="BF1984" s="1" t="s">
        <v>55</v>
      </c>
      <c r="BI1984" s="1" t="s">
        <v>58</v>
      </c>
      <c r="DO1984" s="1" t="s">
        <v>116</v>
      </c>
      <c r="EB1984" s="1" t="s">
        <v>129</v>
      </c>
    </row>
    <row r="1985" spans="1:124" ht="14.25" customHeight="1" x14ac:dyDescent="0.3">
      <c r="A1985" s="1" t="s">
        <v>2126</v>
      </c>
      <c r="B1985" s="1" t="str">
        <f ca="1">IFERROR(__xludf.DUMMYFUNCTION("GOOGLETRANSLATE(A1985, ""en"", ""fr"")"),"baleinage")</f>
        <v>baleinage</v>
      </c>
      <c r="BI1985" s="1" t="s">
        <v>58</v>
      </c>
      <c r="DO1985" s="1" t="s">
        <v>116</v>
      </c>
      <c r="DT1985" s="1" t="s">
        <v>121</v>
      </c>
    </row>
    <row r="1986" spans="1:124" ht="14.25" customHeight="1" x14ac:dyDescent="0.3">
      <c r="A1986" s="1" t="s">
        <v>2127</v>
      </c>
      <c r="B1986" s="1" t="str">
        <f ca="1">IFERROR(__xludf.DUMMYFUNCTION("GOOGLETRANSLATE(A1986, ""en"", ""fr"")"),"Flancher")</f>
        <v>Flancher</v>
      </c>
      <c r="E1986" s="1" t="s">
        <v>3</v>
      </c>
    </row>
    <row r="1987" spans="1:124" ht="14.25" customHeight="1" x14ac:dyDescent="0.3">
      <c r="A1987" s="1" t="s">
        <v>2128</v>
      </c>
      <c r="B1987" s="1" t="str">
        <f ca="1">IFERROR(__xludf.DUMMYFUNCTION("GOOGLETRANSLATE(A1987, ""en"", ""fr"")"),"Flotter")</f>
        <v>Flotter</v>
      </c>
      <c r="R1987" s="1" t="s">
        <v>15</v>
      </c>
      <c r="CS1987" s="1" t="s">
        <v>94</v>
      </c>
    </row>
    <row r="1988" spans="1:124" ht="14.25" customHeight="1" x14ac:dyDescent="0.3">
      <c r="A1988" s="1" t="s">
        <v>2129</v>
      </c>
      <c r="B1988" s="1" t="str">
        <f ca="1">IFERROR(__xludf.DUMMYFUNCTION("GOOGLETRANSLATE(A1988, ""en"", ""fr"")"),"Halage")</f>
        <v>Halage</v>
      </c>
      <c r="R1988" s="1" t="s">
        <v>15</v>
      </c>
      <c r="CS1988" s="1" t="s">
        <v>94</v>
      </c>
    </row>
    <row r="1989" spans="1:124" ht="14.25" customHeight="1" x14ac:dyDescent="0.3">
      <c r="A1989" s="1" t="s">
        <v>2130</v>
      </c>
      <c r="B1989" s="1" t="str">
        <f ca="1">IFERROR(__xludf.DUMMYFUNCTION("GOOGLETRANSLATE(A1989, ""en"", ""fr"")"),"FOMC")</f>
        <v>FOMC</v>
      </c>
      <c r="M1989" s="1" t="s">
        <v>10</v>
      </c>
    </row>
    <row r="1990" spans="1:124" ht="14.25" customHeight="1" x14ac:dyDescent="0.3">
      <c r="A1990" s="1" t="s">
        <v>2131</v>
      </c>
      <c r="B1990" s="1" t="str">
        <f ca="1">IFERROR(__xludf.DUMMYFUNCTION("GOOGLETRANSLATE(A1990, ""en"", ""fr"")"),"idiot dans la douche")</f>
        <v>idiot dans la douche</v>
      </c>
      <c r="M1990" s="1" t="s">
        <v>10</v>
      </c>
    </row>
    <row r="1991" spans="1:124" ht="14.25" customHeight="1" x14ac:dyDescent="0.3">
      <c r="A1991" s="1" t="s">
        <v>2132</v>
      </c>
      <c r="B1991" s="1" t="str">
        <f ca="1">IFERROR(__xludf.DUMMYFUNCTION("GOOGLETRANSLATE(A1991, ""en"", ""fr"")"),"pour")</f>
        <v>pour</v>
      </c>
      <c r="J1991" s="1" t="s">
        <v>7</v>
      </c>
    </row>
    <row r="1992" spans="1:124" ht="14.25" customHeight="1" x14ac:dyDescent="0.3">
      <c r="A1992" s="1" t="s">
        <v>2133</v>
      </c>
      <c r="B1992" s="1" t="str">
        <f ca="1">IFERROR(__xludf.DUMMYFUNCTION("GOOGLETRANSLATE(A1992, ""en"", ""fr"")"),"INTERDIRE")</f>
        <v>INTERDIRE</v>
      </c>
      <c r="D1992" s="1" t="s">
        <v>4963</v>
      </c>
    </row>
    <row r="1993" spans="1:124" ht="14.25" customHeight="1" x14ac:dyDescent="0.3">
      <c r="A1993" s="1" t="s">
        <v>2134</v>
      </c>
      <c r="B1993" s="1" t="str">
        <f ca="1">IFERROR(__xludf.DUMMYFUNCTION("GOOGLETRANSLATE(A1993, ""en"", ""fr"")"),"INTERDIT")</f>
        <v>INTERDIT</v>
      </c>
      <c r="D1993" s="1" t="s">
        <v>4963</v>
      </c>
    </row>
    <row r="1994" spans="1:124" ht="14.25" customHeight="1" x14ac:dyDescent="0.3">
      <c r="A1994" s="1" t="s">
        <v>2135</v>
      </c>
      <c r="B1994" s="1" t="str">
        <f ca="1">IFERROR(__xludf.DUMMYFUNCTION("GOOGLETRANSLATE(A1994, ""en"", ""fr"")"),"INTERDICTION")</f>
        <v>INTERDICTION</v>
      </c>
      <c r="D1994" s="1" t="s">
        <v>4963</v>
      </c>
    </row>
    <row r="1995" spans="1:124" ht="14.25" customHeight="1" x14ac:dyDescent="0.3">
      <c r="A1995" s="1" t="s">
        <v>2136</v>
      </c>
      <c r="B1995" s="1" t="str">
        <f ca="1">IFERROR(__xludf.DUMMYFUNCTION("GOOGLETRANSLATE(A1995, ""en"", ""fr"")"),"Interdire")</f>
        <v>Interdire</v>
      </c>
      <c r="D1995" s="1" t="s">
        <v>4963</v>
      </c>
    </row>
    <row r="1996" spans="1:124" ht="14.25" customHeight="1" x14ac:dyDescent="0.3">
      <c r="A1996" s="1" t="s">
        <v>2137</v>
      </c>
      <c r="B1996" s="1" t="str">
        <f ca="1">IFERROR(__xludf.DUMMYFUNCTION("GOOGLETRANSLATE(A1996, ""en"", ""fr"")"),"Forcados")</f>
        <v>Forcados</v>
      </c>
      <c r="R1996" s="1" t="s">
        <v>15</v>
      </c>
      <c r="CS1996" s="1" t="s">
        <v>94</v>
      </c>
    </row>
    <row r="1997" spans="1:124" ht="14.25" customHeight="1" x14ac:dyDescent="0.3">
      <c r="A1997" s="1" t="s">
        <v>2138</v>
      </c>
      <c r="B1997" s="1" t="str">
        <f ca="1">IFERROR(__xludf.DUMMYFUNCTION("GOOGLETRANSLATE(A1997, ""en"", ""fr"")"),"FORCER")</f>
        <v>FORCER</v>
      </c>
      <c r="D1997" s="1" t="s">
        <v>4963</v>
      </c>
    </row>
    <row r="1998" spans="1:124" ht="14.25" customHeight="1" x14ac:dyDescent="0.3">
      <c r="A1998" s="1" t="s">
        <v>2139</v>
      </c>
      <c r="B1998" s="1" t="str">
        <f ca="1">IFERROR(__xludf.DUMMYFUNCTION("GOOGLETRANSLATE(A1998, ""en"", ""fr"")"),"FORCÉ")</f>
        <v>FORCÉ</v>
      </c>
      <c r="D1998" s="1" t="s">
        <v>4963</v>
      </c>
    </row>
    <row r="1999" spans="1:124" ht="14.25" customHeight="1" x14ac:dyDescent="0.3">
      <c r="A1999" s="1" t="s">
        <v>2140</v>
      </c>
      <c r="B1999" s="1" t="str">
        <f ca="1">IFERROR(__xludf.DUMMYFUNCTION("GOOGLETRANSLATE(A1999, ""en"", ""fr"")"),"Forçage")</f>
        <v>Forçage</v>
      </c>
      <c r="D1999" s="1" t="s">
        <v>4963</v>
      </c>
    </row>
    <row r="2000" spans="1:124" ht="14.25" customHeight="1" x14ac:dyDescent="0.3">
      <c r="A2000" s="1" t="s">
        <v>2141</v>
      </c>
      <c r="B2000" s="1" t="str">
        <f ca="1">IFERROR(__xludf.DUMMYFUNCTION("GOOGLETRANSLATE(A2000, ""en"", ""fr"")"),"période de prévision")</f>
        <v>période de prévision</v>
      </c>
      <c r="CR2000" s="1" t="s">
        <v>93</v>
      </c>
    </row>
    <row r="2001" spans="1:96" ht="14.25" customHeight="1" x14ac:dyDescent="0.3">
      <c r="A2001" s="1" t="s">
        <v>2142</v>
      </c>
      <c r="B2001" s="1" t="str">
        <f ca="1">IFERROR(__xludf.DUMMYFUNCTION("GOOGLETRANSLATE(A2001, ""en"", ""fr"")"),"date de début prévue")</f>
        <v>date de début prévue</v>
      </c>
      <c r="CR2001" s="1" t="s">
        <v>93</v>
      </c>
    </row>
    <row r="2002" spans="1:96" ht="14.25" customHeight="1" x14ac:dyDescent="0.3">
      <c r="A2002" s="1" t="s">
        <v>2143</v>
      </c>
      <c r="B2002" s="1" t="str">
        <f ca="1">IFERROR(__xludf.DUMMYFUNCTION("GOOGLETRANSLATE(A2002, ""en"", ""fr"")"),"année de prévision")</f>
        <v>année de prévision</v>
      </c>
      <c r="CR2002" s="1" t="s">
        <v>93</v>
      </c>
    </row>
    <row r="2003" spans="1:96" ht="14.25" customHeight="1" x14ac:dyDescent="0.3">
      <c r="A2003" s="1" t="s">
        <v>2144</v>
      </c>
      <c r="B2003" s="1" t="str">
        <f ca="1">IFERROR(__xludf.DUMMYFUNCTION("GOOGLETRANSLATE(A2003, ""en"", ""fr"")"),"prévision")</f>
        <v>prévision</v>
      </c>
      <c r="CR2003" s="1" t="s">
        <v>93</v>
      </c>
    </row>
    <row r="2004" spans="1:96" ht="14.25" customHeight="1" x14ac:dyDescent="0.3">
      <c r="A2004" s="1" t="s">
        <v>2145</v>
      </c>
      <c r="B2004" s="1" t="str">
        <f ca="1">IFERROR(__xludf.DUMMYFUNCTION("GOOGLETRANSLATE(A2004, ""en"", ""fr"")"),"SAISIR")</f>
        <v>SAISIR</v>
      </c>
      <c r="D2004" s="1" t="s">
        <v>4963</v>
      </c>
    </row>
    <row r="2005" spans="1:96" ht="14.25" customHeight="1" x14ac:dyDescent="0.3">
      <c r="A2005" s="1" t="s">
        <v>2146</v>
      </c>
      <c r="B2005" s="1" t="str">
        <f ca="1">IFERROR(__xludf.DUMMYFUNCTION("GOOGLETRANSLATE(A2005, ""en"", ""fr"")"),"Saisi")</f>
        <v>Saisi</v>
      </c>
      <c r="D2005" s="1" t="s">
        <v>4963</v>
      </c>
    </row>
    <row r="2006" spans="1:96" ht="14.25" customHeight="1" x14ac:dyDescent="0.3">
      <c r="A2006" s="1" t="s">
        <v>2147</v>
      </c>
      <c r="B2006" s="1" t="str">
        <f ca="1">IFERROR(__xludf.DUMMYFUNCTION("GOOGLETRANSLATE(A2006, ""en"", ""fr"")"),"Forclusion")</f>
        <v>Forclusion</v>
      </c>
      <c r="D2006" s="1" t="s">
        <v>4963</v>
      </c>
    </row>
    <row r="2007" spans="1:96" ht="14.25" customHeight="1" x14ac:dyDescent="0.3">
      <c r="A2007" s="1" t="s">
        <v>2148</v>
      </c>
      <c r="B2007" s="1" t="str">
        <f ca="1">IFERROR(__xludf.DUMMYFUNCTION("GOOGLETRANSLATE(A2007, ""en"", ""fr"")"),"Saisie")</f>
        <v>Saisie</v>
      </c>
      <c r="D2007" s="1" t="s">
        <v>4963</v>
      </c>
    </row>
    <row r="2008" spans="1:96" ht="14.25" customHeight="1" x14ac:dyDescent="0.3">
      <c r="A2008" s="1" t="s">
        <v>2149</v>
      </c>
      <c r="B2008" s="1" t="str">
        <f ca="1">IFERROR(__xludf.DUMMYFUNCTION("GOOGLETRANSLATE(A2008, ""en"", ""fr"")"),"FORCLUSION")</f>
        <v>FORCLUSION</v>
      </c>
      <c r="D2008" s="1" t="s">
        <v>4963</v>
      </c>
    </row>
    <row r="2009" spans="1:96" ht="14.25" customHeight="1" x14ac:dyDescent="0.3">
      <c r="A2009" s="1" t="s">
        <v>2150</v>
      </c>
      <c r="B2009" s="1" t="str">
        <f ca="1">IFERROR(__xludf.DUMMYFUNCTION("GOOGLETRANSLATE(A2009, ""en"", ""fr"")"),"Saisies")</f>
        <v>Saisies</v>
      </c>
      <c r="D2009" s="1" t="s">
        <v>4963</v>
      </c>
    </row>
    <row r="2010" spans="1:96" ht="14.25" customHeight="1" x14ac:dyDescent="0.3">
      <c r="A2010" s="1" t="s">
        <v>2151</v>
      </c>
      <c r="B2010" s="1" t="str">
        <f ca="1">IFERROR(__xludf.DUMMYFUNCTION("GOOGLETRANSLATE(A2010, ""en"", ""fr"")"),"Renoncer")</f>
        <v>Renoncer</v>
      </c>
      <c r="D2010" s="1" t="s">
        <v>4963</v>
      </c>
    </row>
    <row r="2011" spans="1:96" ht="14.25" customHeight="1" x14ac:dyDescent="0.3">
      <c r="A2011" s="1" t="s">
        <v>2152</v>
      </c>
      <c r="B2011" s="1" t="str">
        <f ca="1">IFERROR(__xludf.DUMMYFUNCTION("GOOGLETRANSLATE(A2011, ""en"", ""fr"")"),"Intestins")</f>
        <v>Intestins</v>
      </c>
      <c r="D2011" s="1" t="s">
        <v>4963</v>
      </c>
    </row>
    <row r="2012" spans="1:96" ht="14.25" customHeight="1" x14ac:dyDescent="0.3">
      <c r="A2012" s="1" t="s">
        <v>2153</v>
      </c>
      <c r="B2012" s="1" t="str">
        <f ca="1">IFERROR(__xludf.DUMMYFUNCTION("GOOGLETRANSLATE(A2012, ""en"", ""fr"")"),"PRÉCÉDENT")</f>
        <v>PRÉCÉDENT</v>
      </c>
      <c r="D2012" s="1" t="s">
        <v>4963</v>
      </c>
    </row>
    <row r="2013" spans="1:96" ht="14.25" customHeight="1" x14ac:dyDescent="0.3">
      <c r="A2013" s="1" t="s">
        <v>2154</v>
      </c>
      <c r="B2013" s="1" t="str">
        <f ca="1">IFERROR(__xludf.DUMMYFUNCTION("GOOGLETRANSLATE(A2013, ""en"", ""fr"")"),"Renvoyé")</f>
        <v>Renvoyé</v>
      </c>
      <c r="D2013" s="1" t="s">
        <v>4963</v>
      </c>
    </row>
    <row r="2014" spans="1:96" ht="14.25" customHeight="1" x14ac:dyDescent="0.3">
      <c r="A2014" s="1" t="s">
        <v>2155</v>
      </c>
      <c r="B2014" s="1" t="str">
        <f ca="1">IFERROR(__xludf.DUMMYFUNCTION("GOOGLETRANSLATE(A2014, ""en"", ""fr"")"),"dette extérieure")</f>
        <v>dette extérieure</v>
      </c>
      <c r="M2014" s="1" t="s">
        <v>10</v>
      </c>
    </row>
    <row r="2015" spans="1:96" ht="14.25" customHeight="1" x14ac:dyDescent="0.3">
      <c r="A2015" s="1" t="s">
        <v>2156</v>
      </c>
      <c r="B2015" s="1" t="str">
        <f ca="1">IFERROR(__xludf.DUMMYFUNCTION("GOOGLETRANSLATE(A2015, ""en"", ""fr"")"),"réserve de change")</f>
        <v>réserve de change</v>
      </c>
      <c r="M2015" s="1" t="s">
        <v>10</v>
      </c>
    </row>
    <row r="2016" spans="1:96" ht="14.25" customHeight="1" x14ac:dyDescent="0.3">
      <c r="A2016" s="1" t="s">
        <v>2157</v>
      </c>
      <c r="B2016" s="1" t="str">
        <f ca="1">IFERROR(__xludf.DUMMYFUNCTION("GOOGLETRANSLATE(A2016, ""en"", ""fr"")"),"multiplicateur du commerce extérieur")</f>
        <v>multiplicateur du commerce extérieur</v>
      </c>
      <c r="M2016" s="1" t="s">
        <v>10</v>
      </c>
    </row>
    <row r="2017" spans="1:108" ht="14.25" customHeight="1" x14ac:dyDescent="0.3">
      <c r="A2017" s="1" t="s">
        <v>2158</v>
      </c>
      <c r="B2017" s="1" t="str">
        <f ca="1">IFERROR(__xludf.DUMMYFUNCTION("GOOGLETRANSLATE(A2017, ""en"", ""fr"")"),"DEVANCER")</f>
        <v>DEVANCER</v>
      </c>
      <c r="D2017" s="1" t="s">
        <v>4963</v>
      </c>
    </row>
    <row r="2018" spans="1:108" ht="14.25" customHeight="1" x14ac:dyDescent="0.3">
      <c r="A2018" s="1" t="s">
        <v>2159</v>
      </c>
      <c r="B2018" s="1" t="str">
        <f ca="1">IFERROR(__xludf.DUMMYFUNCTION("GOOGLETRANSLATE(A2018, ""en"", ""fr"")"),"Préalable")</f>
        <v>Préalable</v>
      </c>
      <c r="D2018" s="1" t="s">
        <v>4963</v>
      </c>
    </row>
    <row r="2019" spans="1:108" ht="14.25" customHeight="1" x14ac:dyDescent="0.3">
      <c r="A2019" s="1" t="s">
        <v>2160</v>
      </c>
      <c r="B2019" s="1" t="str">
        <f ca="1">IFERROR(__xludf.DUMMYFUNCTION("GOOGLETRANSLATE(A2019, ""en"", ""fr"")"),"Préalable")</f>
        <v>Préalable</v>
      </c>
      <c r="D2019" s="1" t="s">
        <v>4963</v>
      </c>
    </row>
    <row r="2020" spans="1:108" ht="14.25" customHeight="1" x14ac:dyDescent="0.3">
      <c r="A2020" s="1" t="s">
        <v>2161</v>
      </c>
      <c r="B2020" s="1" t="str">
        <f ca="1">IFERROR(__xludf.DUMMYFUNCTION("GOOGLETRANSLATE(A2020, ""en"", ""fr"")"),"Présager")</f>
        <v>Présager</v>
      </c>
      <c r="D2020" s="1" t="s">
        <v>4963</v>
      </c>
    </row>
    <row r="2021" spans="1:108" ht="14.25" customHeight="1" x14ac:dyDescent="0.3">
      <c r="A2021" s="1" t="s">
        <v>2162</v>
      </c>
      <c r="B2021" s="1" t="str">
        <f ca="1">IFERROR(__xludf.DUMMYFUNCTION("GOOGLETRANSLATE(A2021, ""en"", ""fr"")"),"DÉCLARER FORFAIT")</f>
        <v>DÉCLARER FORFAIT</v>
      </c>
      <c r="D2021" s="1" t="s">
        <v>4963</v>
      </c>
    </row>
    <row r="2022" spans="1:108" ht="14.25" customHeight="1" x14ac:dyDescent="0.3">
      <c r="A2022" s="1" t="s">
        <v>2163</v>
      </c>
      <c r="B2022" s="1" t="str">
        <f ca="1">IFERROR(__xludf.DUMMYFUNCTION("GOOGLETRANSLATE(A2022, ""en"", ""fr"")"),"Confisqué")</f>
        <v>Confisqué</v>
      </c>
      <c r="D2022" s="1" t="s">
        <v>4963</v>
      </c>
    </row>
    <row r="2023" spans="1:108" ht="14.25" customHeight="1" x14ac:dyDescent="0.3">
      <c r="A2023" s="1" t="s">
        <v>2164</v>
      </c>
      <c r="B2023" s="1" t="str">
        <f ca="1">IFERROR(__xludf.DUMMYFUNCTION("GOOGLETRANSLATE(A2023, ""en"", ""fr"")"),"Relevé")</f>
        <v>Relevé</v>
      </c>
      <c r="D2023" s="1" t="s">
        <v>4963</v>
      </c>
    </row>
    <row r="2024" spans="1:108" ht="14.25" customHeight="1" x14ac:dyDescent="0.3">
      <c r="A2024" s="1" t="s">
        <v>2165</v>
      </c>
      <c r="B2024" s="1" t="str">
        <f ca="1">IFERROR(__xludf.DUMMYFUNCTION("GOOGLETRANSLATE(A2024, ""en"", ""fr"")"),"Forfaits")</f>
        <v>Forfaits</v>
      </c>
      <c r="D2024" s="1" t="s">
        <v>4963</v>
      </c>
    </row>
    <row r="2025" spans="1:108" ht="14.25" customHeight="1" x14ac:dyDescent="0.3">
      <c r="A2025" s="1" t="s">
        <v>2166</v>
      </c>
      <c r="B2025" s="1" t="str">
        <f ca="1">IFERROR(__xludf.DUMMYFUNCTION("GOOGLETRANSLATE(A2025, ""en"", ""fr"")"),"CONFISCATION")</f>
        <v>CONFISCATION</v>
      </c>
      <c r="D2025" s="1" t="s">
        <v>4963</v>
      </c>
    </row>
    <row r="2026" spans="1:108" ht="14.25" customHeight="1" x14ac:dyDescent="0.3">
      <c r="A2026" s="1" t="s">
        <v>2167</v>
      </c>
      <c r="B2026" s="1" t="str">
        <f ca="1">IFERROR(__xludf.DUMMYFUNCTION("GOOGLETRANSLATE(A2026, ""en"", ""fr"")"),"Confiscation")</f>
        <v>Confiscation</v>
      </c>
      <c r="D2026" s="1" t="s">
        <v>4963</v>
      </c>
    </row>
    <row r="2027" spans="1:108" ht="14.25" customHeight="1" x14ac:dyDescent="0.3">
      <c r="A2027" s="1" t="s">
        <v>2168</v>
      </c>
      <c r="B2027" s="1" t="str">
        <f ca="1">IFERROR(__xludf.DUMMYFUNCTION("GOOGLETRANSLATE(A2027, ""en"", ""fr"")"),"Indiscortifs")</f>
        <v>Indiscortifs</v>
      </c>
      <c r="D2027" s="1" t="s">
        <v>4963</v>
      </c>
    </row>
    <row r="2028" spans="1:108" ht="14.25" customHeight="1" x14ac:dyDescent="0.3">
      <c r="A2028" s="1" t="s">
        <v>2169</v>
      </c>
      <c r="B2028" s="1" t="str">
        <f ca="1">IFERROR(__xludf.DUMMYFUNCTION("GOOGLETRANSLATE(A2028, ""en"", ""fr"")"),"FALSIFICATION")</f>
        <v>FALSIFICATION</v>
      </c>
      <c r="D2028" s="1" t="s">
        <v>4963</v>
      </c>
    </row>
    <row r="2029" spans="1:108" ht="14.25" customHeight="1" x14ac:dyDescent="0.3">
      <c r="A2029" s="1" t="s">
        <v>2170</v>
      </c>
      <c r="B2029" s="1" t="str">
        <f ca="1">IFERROR(__xludf.DUMMYFUNCTION("GOOGLETRANSLATE(A2029, ""en"", ""fr"")"),"Mélange Foroozan")</f>
        <v>Mélange Foroozan</v>
      </c>
      <c r="R2029" s="1" t="s">
        <v>15</v>
      </c>
      <c r="CS2029" s="1" t="s">
        <v>94</v>
      </c>
    </row>
    <row r="2030" spans="1:108" ht="14.25" customHeight="1" x14ac:dyDescent="0.3">
      <c r="A2030" s="1" t="s">
        <v>2171</v>
      </c>
      <c r="B2030" s="1" t="str">
        <f ca="1">IFERROR(__xludf.DUMMYFUNCTION("GOOGLETRANSLATE(A2030, ""en"", ""fr"")"),"Mélanger")</f>
        <v>Mélanger</v>
      </c>
      <c r="R2030" s="1" t="s">
        <v>15</v>
      </c>
      <c r="CS2030" s="1" t="s">
        <v>94</v>
      </c>
    </row>
    <row r="2031" spans="1:108" ht="14.25" customHeight="1" x14ac:dyDescent="0.3">
      <c r="A2031" s="1" t="s">
        <v>2172</v>
      </c>
      <c r="B2031" s="1" t="str">
        <f ca="1">IFERROR(__xludf.DUMMYFUNCTION("GOOGLETRANSLATE(A2031, ""en"", ""fr"")"),"Fortiesoil")</f>
        <v>Fortiesoil</v>
      </c>
      <c r="CE2031" s="1" t="s">
        <v>80</v>
      </c>
      <c r="DD2031" s="1" t="s">
        <v>105</v>
      </c>
    </row>
    <row r="2032" spans="1:108" ht="14.25" customHeight="1" x14ac:dyDescent="0.3">
      <c r="A2032" s="1" t="s">
        <v>2173</v>
      </c>
      <c r="B2032" s="1" t="str">
        <f ca="1">IFERROR(__xludf.DUMMYFUNCTION("GOOGLETRANSLATE(A2032, ""en"", ""fr"")"),"Achat à l'avant")</f>
        <v>Achat à l'avant</v>
      </c>
      <c r="Q2032" s="1" t="s">
        <v>14</v>
      </c>
    </row>
    <row r="2033" spans="1:141" ht="14.25" customHeight="1" x14ac:dyDescent="0.3">
      <c r="A2033" s="1" t="s">
        <v>2174</v>
      </c>
      <c r="B2033" s="1" t="str">
        <f ca="1">IFERROR(__xludf.DUMMYFUNCTION("GOOGLETRANSLATE(A2033, ""en"", ""fr"")"),"taux à terme")</f>
        <v>taux à terme</v>
      </c>
      <c r="Q2033" s="1" t="s">
        <v>14</v>
      </c>
    </row>
    <row r="2034" spans="1:141" ht="14.25" customHeight="1" x14ac:dyDescent="0.3">
      <c r="A2034" s="1" t="s">
        <v>2175</v>
      </c>
      <c r="B2034" s="1" t="str">
        <f ca="1">IFERROR(__xludf.DUMMYFUNCTION("GOOGLETRANSLATE(A2034, ""en"", ""fr"")"),"Option de démarrage vers l'avant")</f>
        <v>Option de démarrage vers l'avant</v>
      </c>
      <c r="Q2034" s="1" t="s">
        <v>14</v>
      </c>
    </row>
    <row r="2035" spans="1:141" ht="14.25" customHeight="1" x14ac:dyDescent="0.3">
      <c r="A2035" s="1" t="s">
        <v>2176</v>
      </c>
      <c r="B2035" s="1" t="str">
        <f ca="1">IFERROR(__xludf.DUMMYFUNCTION("GOOGLETRANSLATE(A2035, ""en"", ""fr"")"),"échange avant")</f>
        <v>échange avant</v>
      </c>
      <c r="Q2035" s="1" t="s">
        <v>14</v>
      </c>
    </row>
    <row r="2036" spans="1:141" ht="14.25" customHeight="1" x14ac:dyDescent="0.3">
      <c r="A2036" s="1" t="s">
        <v>2177</v>
      </c>
      <c r="B2036" s="1" t="str">
        <f ca="1">IFERROR(__xludf.DUMMYFUNCTION("GOOGLETRANSLATE(A2036, ""en"", ""fr"")"),"FPSO")</f>
        <v>FPSO</v>
      </c>
      <c r="E2036" s="1" t="s">
        <v>3</v>
      </c>
    </row>
    <row r="2037" spans="1:141" ht="14.25" customHeight="1" x14ac:dyDescent="0.3">
      <c r="A2037" s="1" t="s">
        <v>2178</v>
      </c>
      <c r="B2037" s="1" t="str">
        <f ca="1">IFERROR(__xludf.DUMMYFUNCTION("GOOGLETRANSLATE(A2037, ""en"", ""fr"")"),"Travail de fracture")</f>
        <v>Travail de fracture</v>
      </c>
      <c r="E2037" s="1" t="s">
        <v>3</v>
      </c>
    </row>
    <row r="2038" spans="1:141" ht="14.25" customHeight="1" x14ac:dyDescent="0.3">
      <c r="A2038" s="1" t="s">
        <v>2179</v>
      </c>
      <c r="B2038" s="1" t="str">
        <f ca="1">IFERROR(__xludf.DUMMYFUNCTION("GOOGLETRANSLATE(A2038, ""en"", ""fr"")"),"Banque de réserve fractionnaire")</f>
        <v>Banque de réserve fractionnaire</v>
      </c>
      <c r="M2038" s="1" t="s">
        <v>10</v>
      </c>
    </row>
    <row r="2039" spans="1:141" ht="14.25" customHeight="1" x14ac:dyDescent="0.3">
      <c r="A2039" s="1" t="s">
        <v>2180</v>
      </c>
      <c r="B2039" s="1" t="str">
        <f ca="1">IFERROR(__xludf.DUMMYFUNCTION("GOOGLETRANSLATE(A2039, ""en"", ""fr"")"),"France")</f>
        <v>France</v>
      </c>
      <c r="L2039" s="1" t="s">
        <v>9</v>
      </c>
      <c r="AR2039" s="1" t="s">
        <v>41</v>
      </c>
      <c r="EK2039" s="1" t="s">
        <v>138</v>
      </c>
    </row>
    <row r="2040" spans="1:141" ht="14.25" customHeight="1" x14ac:dyDescent="0.3">
      <c r="A2040" s="1" t="s">
        <v>2181</v>
      </c>
      <c r="B2040" s="1" t="str">
        <f ca="1">IFERROR(__xludf.DUMMYFUNCTION("GOOGLETRANSLATE(A2040, ""en"", ""fr"")"),"FRAUDE")</f>
        <v>FRAUDE</v>
      </c>
      <c r="D2040" s="1" t="s">
        <v>4963</v>
      </c>
    </row>
    <row r="2041" spans="1:141" ht="14.25" customHeight="1" x14ac:dyDescent="0.3">
      <c r="A2041" s="1" t="s">
        <v>2182</v>
      </c>
      <c r="B2041" s="1" t="str">
        <f ca="1">IFERROR(__xludf.DUMMYFUNCTION("GOOGLETRANSLATE(A2041, ""en"", ""fr"")"),"Fraude")</f>
        <v>Fraude</v>
      </c>
      <c r="D2041" s="1" t="s">
        <v>4963</v>
      </c>
    </row>
    <row r="2042" spans="1:141" ht="14.25" customHeight="1" x14ac:dyDescent="0.3">
      <c r="A2042" s="1" t="s">
        <v>2183</v>
      </c>
      <c r="B2042" s="1" t="str">
        <f ca="1">IFERROR(__xludf.DUMMYFUNCTION("GOOGLETRANSLATE(A2042, ""en"", ""fr"")"),"FRAUDE")</f>
        <v>FRAUDE</v>
      </c>
      <c r="D2042" s="1" t="s">
        <v>4963</v>
      </c>
    </row>
    <row r="2043" spans="1:141" ht="14.25" customHeight="1" x14ac:dyDescent="0.3">
      <c r="A2043" s="1" t="s">
        <v>2184</v>
      </c>
      <c r="B2043" s="1" t="str">
        <f ca="1">IFERROR(__xludf.DUMMYFUNCTION("GOOGLETRANSLATE(A2043, ""en"", ""fr"")"),"FRAUDULEUX")</f>
        <v>FRAUDULEUX</v>
      </c>
      <c r="D2043" s="1" t="s">
        <v>4963</v>
      </c>
    </row>
    <row r="2044" spans="1:141" ht="14.25" customHeight="1" x14ac:dyDescent="0.3">
      <c r="A2044" s="1" t="s">
        <v>2185</v>
      </c>
      <c r="B2044" s="1" t="str">
        <f ca="1">IFERROR(__xludf.DUMMYFUNCTION("GOOGLETRANSLATE(A2044, ""en"", ""fr"")"),"Frauduleusement")</f>
        <v>Frauduleusement</v>
      </c>
      <c r="D2044" s="1" t="s">
        <v>4963</v>
      </c>
    </row>
    <row r="2045" spans="1:141" ht="14.25" customHeight="1" x14ac:dyDescent="0.3">
      <c r="A2045" s="1" t="s">
        <v>2186</v>
      </c>
      <c r="B2045" s="1" t="str">
        <f ca="1">IFERROR(__xludf.DUMMYFUNCTION("GOOGLETRANSLATE(A2045, ""en"", ""fr"")"),"la libre entreprise")</f>
        <v>la libre entreprise</v>
      </c>
      <c r="M2045" s="1" t="s">
        <v>10</v>
      </c>
    </row>
    <row r="2046" spans="1:141" ht="14.25" customHeight="1" x14ac:dyDescent="0.3">
      <c r="A2046" s="1" t="s">
        <v>2187</v>
      </c>
      <c r="B2046" s="1" t="str">
        <f ca="1">IFERROR(__xludf.DUMMYFUNCTION("GOOGLETRANSLATE(A2046, ""en"", ""fr"")"),"marché libre")</f>
        <v>marché libre</v>
      </c>
      <c r="M2046" s="1" t="s">
        <v>10</v>
      </c>
    </row>
    <row r="2047" spans="1:141" ht="14.25" customHeight="1" x14ac:dyDescent="0.3">
      <c r="A2047" s="1" t="s">
        <v>2188</v>
      </c>
      <c r="B2047" s="1" t="str">
        <f ca="1">IFERROR(__xludf.DUMMYFUNCTION("GOOGLETRANSLATE(A2047, ""en"", ""fr"")"),"prix du marché libre")</f>
        <v>prix du marché libre</v>
      </c>
      <c r="M2047" s="1" t="s">
        <v>10</v>
      </c>
    </row>
    <row r="2048" spans="1:141" ht="14.25" customHeight="1" x14ac:dyDescent="0.3">
      <c r="A2048" s="1" t="s">
        <v>2189</v>
      </c>
      <c r="B2048" s="1" t="str">
        <f ca="1">IFERROR(__xludf.DUMMYFUNCTION("GOOGLETRANSLATE(A2048, ""en"", ""fr"")"),"Prix ​​de mine gratuit à bord")</f>
        <v>Prix ​​de mine gratuit à bord</v>
      </c>
      <c r="CR2048" s="1" t="s">
        <v>93</v>
      </c>
    </row>
    <row r="2049" spans="1:18" ht="14.25" customHeight="1" x14ac:dyDescent="0.3">
      <c r="A2049" s="1" t="s">
        <v>2190</v>
      </c>
      <c r="B2049" s="1" t="str">
        <f ca="1">IFERROR(__xludf.DUMMYFUNCTION("GOOGLETRANSLATE(A2049, ""en"", ""fr"")"),"libre échange")</f>
        <v>libre échange</v>
      </c>
      <c r="M2049" s="1" t="s">
        <v>10</v>
      </c>
    </row>
    <row r="2050" spans="1:18" ht="14.25" customHeight="1" x14ac:dyDescent="0.3">
      <c r="A2050" s="1" t="s">
        <v>2191</v>
      </c>
      <c r="B2050" s="1" t="str">
        <f ca="1">IFERROR(__xludf.DUMMYFUNCTION("GOOGLETRANSLATE(A2050, ""en"", ""fr"")"),"AMICAL")</f>
        <v>AMICAL</v>
      </c>
      <c r="H2050" s="1" t="s">
        <v>4964</v>
      </c>
    </row>
    <row r="2051" spans="1:18" ht="14.25" customHeight="1" x14ac:dyDescent="0.3">
      <c r="A2051" s="1" t="s">
        <v>2192</v>
      </c>
      <c r="B2051" s="1" t="str">
        <f ca="1">IFERROR(__xludf.DUMMYFUNCTION("GOOGLETRANSLATE(A2051, ""en"", ""fr"")"),"FRIVOLE")</f>
        <v>FRIVOLE</v>
      </c>
      <c r="D2051" s="1" t="s">
        <v>4963</v>
      </c>
    </row>
    <row r="2052" spans="1:18" ht="14.25" customHeight="1" x14ac:dyDescent="0.3">
      <c r="A2052" s="1" t="s">
        <v>2193</v>
      </c>
      <c r="B2052" s="1" t="str">
        <f ca="1">IFERROR(__xludf.DUMMYFUNCTION("GOOGLETRANSLATE(A2052, ""en"", ""fr"")"),"Frivole")</f>
        <v>Frivole</v>
      </c>
      <c r="D2052" s="1" t="s">
        <v>4963</v>
      </c>
    </row>
    <row r="2053" spans="1:18" ht="14.25" customHeight="1" x14ac:dyDescent="0.3">
      <c r="A2053" s="1" t="s">
        <v>2194</v>
      </c>
      <c r="B2053" s="1" t="str">
        <f ca="1">IFERROR(__xludf.DUMMYFUNCTION("GOOGLETRANSLATE(A2053, ""en"", ""fr"")"),"depuis")</f>
        <v>depuis</v>
      </c>
      <c r="J2053" s="1" t="s">
        <v>7</v>
      </c>
    </row>
    <row r="2054" spans="1:18" ht="14.25" customHeight="1" x14ac:dyDescent="0.3">
      <c r="A2054" s="1" t="s">
        <v>2195</v>
      </c>
      <c r="B2054" s="1" t="str">
        <f ca="1">IFERROR(__xludf.DUMMYFUNCTION("GOOGLETRANSLATE(A2054, ""en"", ""fr"")"),"FRUSTRER")</f>
        <v>FRUSTRER</v>
      </c>
      <c r="D2054" s="1" t="s">
        <v>4963</v>
      </c>
    </row>
    <row r="2055" spans="1:18" ht="14.25" customHeight="1" x14ac:dyDescent="0.3">
      <c r="A2055" s="1" t="s">
        <v>2196</v>
      </c>
      <c r="B2055" s="1" t="str">
        <f ca="1">IFERROR(__xludf.DUMMYFUNCTION("GOOGLETRANSLATE(A2055, ""en"", ""fr"")"),"FRUSTRÉ")</f>
        <v>FRUSTRÉ</v>
      </c>
      <c r="D2055" s="1" t="s">
        <v>4963</v>
      </c>
    </row>
    <row r="2056" spans="1:18" ht="14.25" customHeight="1" x14ac:dyDescent="0.3">
      <c r="A2056" s="1" t="s">
        <v>2197</v>
      </c>
      <c r="B2056" s="1" t="str">
        <f ca="1">IFERROR(__xludf.DUMMYFUNCTION("GOOGLETRANSLATE(A2056, ""en"", ""fr"")"),"Frustrer")</f>
        <v>Frustrer</v>
      </c>
      <c r="D2056" s="1" t="s">
        <v>4963</v>
      </c>
    </row>
    <row r="2057" spans="1:18" ht="14.25" customHeight="1" x14ac:dyDescent="0.3">
      <c r="A2057" s="1" t="s">
        <v>2198</v>
      </c>
      <c r="B2057" s="1" t="str">
        <f ca="1">IFERROR(__xludf.DUMMYFUNCTION("GOOGLETRANSLATE(A2057, ""en"", ""fr"")"),"FRUSTRANT")</f>
        <v>FRUSTRANT</v>
      </c>
      <c r="D2057" s="1" t="s">
        <v>4963</v>
      </c>
    </row>
    <row r="2058" spans="1:18" ht="14.25" customHeight="1" x14ac:dyDescent="0.3">
      <c r="A2058" s="1" t="s">
        <v>2199</v>
      </c>
      <c r="B2058" s="1" t="str">
        <f ca="1">IFERROR(__xludf.DUMMYFUNCTION("GOOGLETRANSLATE(A2058, ""en"", ""fr"")"),"Frustrant")</f>
        <v>Frustrant</v>
      </c>
      <c r="D2058" s="1" t="s">
        <v>4963</v>
      </c>
    </row>
    <row r="2059" spans="1:18" ht="14.25" customHeight="1" x14ac:dyDescent="0.3">
      <c r="A2059" s="1" t="s">
        <v>2200</v>
      </c>
      <c r="B2059" s="1" t="str">
        <f ca="1">IFERROR(__xludf.DUMMYFUNCTION("GOOGLETRANSLATE(A2059, ""en"", ""fr"")"),"FRUSTRATION")</f>
        <v>FRUSTRATION</v>
      </c>
      <c r="D2059" s="1" t="s">
        <v>4963</v>
      </c>
    </row>
    <row r="2060" spans="1:18" ht="14.25" customHeight="1" x14ac:dyDescent="0.3">
      <c r="A2060" s="1" t="s">
        <v>2201</v>
      </c>
      <c r="B2060" s="1" t="str">
        <f ca="1">IFERROR(__xludf.DUMMYFUNCTION("GOOGLETRANSLATE(A2060, ""en"", ""fr"")"),"Frustations")</f>
        <v>Frustations</v>
      </c>
      <c r="D2060" s="1" t="s">
        <v>4963</v>
      </c>
    </row>
    <row r="2061" spans="1:18" ht="14.25" customHeight="1" x14ac:dyDescent="0.3">
      <c r="A2061" s="1" t="s">
        <v>2202</v>
      </c>
      <c r="B2061" s="1" t="str">
        <f ca="1">IFERROR(__xludf.DUMMYFUNCTION("GOOGLETRANSLATE(A2061, ""en"", ""fr"")"),"FTC")</f>
        <v>FTC</v>
      </c>
      <c r="M2061" s="1" t="s">
        <v>10</v>
      </c>
    </row>
    <row r="2062" spans="1:18" ht="14.25" customHeight="1" x14ac:dyDescent="0.3">
      <c r="A2062" s="1" t="s">
        <v>2203</v>
      </c>
      <c r="B2062" s="1" t="str">
        <f ca="1">IFERROR(__xludf.DUMMYFUNCTION("GOOGLETRANSLATE(A2062, ""en"", ""fr"")"),"essence")</f>
        <v>essence</v>
      </c>
      <c r="R2062" s="1" t="s">
        <v>15</v>
      </c>
    </row>
    <row r="2063" spans="1:18" ht="14.25" customHeight="1" x14ac:dyDescent="0.3">
      <c r="A2063" s="1" t="s">
        <v>2204</v>
      </c>
      <c r="B2063" s="1" t="str">
        <f ca="1">IFERROR(__xludf.DUMMYFUNCTION("GOOGLETRANSLATE(A2063, ""en"", ""fr"")"),"FUGITIF")</f>
        <v>FUGITIF</v>
      </c>
      <c r="D2063" s="1" t="s">
        <v>4963</v>
      </c>
    </row>
    <row r="2064" spans="1:18" ht="14.25" customHeight="1" x14ac:dyDescent="0.3">
      <c r="A2064" s="1" t="s">
        <v>2205</v>
      </c>
      <c r="B2064" s="1" t="str">
        <f ca="1">IFERROR(__xludf.DUMMYFUNCTION("GOOGLETRANSLATE(A2064, ""en"", ""fr"")"),"Fugitifs")</f>
        <v>Fugitifs</v>
      </c>
      <c r="D2064" s="1" t="s">
        <v>4963</v>
      </c>
    </row>
    <row r="2065" spans="1:108" ht="14.25" customHeight="1" x14ac:dyDescent="0.3">
      <c r="A2065" s="1" t="s">
        <v>2206</v>
      </c>
      <c r="B2065" s="1" t="str">
        <f ca="1">IFERROR(__xludf.DUMMYFUNCTION("GOOGLETRANSLATE(A2065, ""en"", ""fr"")"),"Fulmar")</f>
        <v>Fulmar</v>
      </c>
      <c r="R2065" s="1" t="s">
        <v>15</v>
      </c>
      <c r="CS2065" s="1" t="s">
        <v>94</v>
      </c>
    </row>
    <row r="2066" spans="1:108" ht="14.25" customHeight="1" x14ac:dyDescent="0.3">
      <c r="A2066" s="1" t="s">
        <v>2207</v>
      </c>
      <c r="B2066" s="1" t="str">
        <f ca="1">IFERROR(__xludf.DUMMYFUNCTION("GOOGLETRANSLATE(A2066, ""en"", ""fr"")"),"analyse fondamentale")</f>
        <v>analyse fondamentale</v>
      </c>
      <c r="CR2066" s="1" t="s">
        <v>93</v>
      </c>
    </row>
    <row r="2067" spans="1:108" ht="14.25" customHeight="1" x14ac:dyDescent="0.3">
      <c r="A2067" s="1" t="s">
        <v>2208</v>
      </c>
      <c r="B2067" s="1" t="str">
        <f ca="1">IFERROR(__xludf.DUMMYFUNCTION("GOOGLETRANSLATE(A2067, ""en"", ""fr"")"),"Fural")</f>
        <v>Fural</v>
      </c>
      <c r="R2067" s="1" t="s">
        <v>15</v>
      </c>
      <c r="CS2067" s="1" t="s">
        <v>94</v>
      </c>
    </row>
    <row r="2068" spans="1:108" ht="14.25" customHeight="1" x14ac:dyDescent="0.3">
      <c r="A2068" s="1" t="s">
        <v>2209</v>
      </c>
      <c r="B2068" s="1" t="str">
        <f ca="1">IFERROR(__xludf.DUMMYFUNCTION("GOOGLETRANSLATE(A2068, ""en"", ""fr"")"),"marchand de la commission des futures")</f>
        <v>marchand de la commission des futures</v>
      </c>
      <c r="CR2068" s="1" t="s">
        <v>93</v>
      </c>
    </row>
    <row r="2069" spans="1:108" ht="14.25" customHeight="1" x14ac:dyDescent="0.3">
      <c r="A2069" s="1" t="s">
        <v>2210</v>
      </c>
      <c r="B2069" s="1" t="str">
        <f ca="1">IFERROR(__xludf.DUMMYFUNCTION("GOOGLETRANSLATE(A2069, ""en"", ""fr"")"),"les contrats d'avenir")</f>
        <v>les contrats d'avenir</v>
      </c>
      <c r="Q2069" s="1" t="s">
        <v>14</v>
      </c>
    </row>
    <row r="2070" spans="1:108" ht="14.25" customHeight="1" x14ac:dyDescent="0.3">
      <c r="A2070" s="1" t="s">
        <v>2211</v>
      </c>
      <c r="B2070" s="1" t="str">
        <f ca="1">IFERROR(__xludf.DUMMYFUNCTION("GOOGLETRANSLATE(A2070, ""en"", ""fr"")"),"équivalent à terme")</f>
        <v>équivalent à terme</v>
      </c>
      <c r="Q2070" s="1" t="s">
        <v>14</v>
      </c>
    </row>
    <row r="2071" spans="1:108" ht="14.25" customHeight="1" x14ac:dyDescent="0.3">
      <c r="A2071" s="1" t="s">
        <v>2212</v>
      </c>
      <c r="B2071" s="1" t="str">
        <f ca="1">IFERROR(__xludf.DUMMYFUNCTION("GOOGLETRANSLATE(A2071, ""en"", ""fr"")"),"marché à terme")</f>
        <v>marché à terme</v>
      </c>
      <c r="CR2071" s="1" t="s">
        <v>93</v>
      </c>
    </row>
    <row r="2072" spans="1:108" ht="14.25" customHeight="1" x14ac:dyDescent="0.3">
      <c r="A2072" s="1" t="s">
        <v>2213</v>
      </c>
      <c r="B2072" s="1" t="str">
        <f ca="1">IFERROR(__xludf.DUMMYFUNCTION("GOOGLETRANSLATE(A2072, ""en"", ""fr"")"),"fyodorovskoye")</f>
        <v>fyodorovskoye</v>
      </c>
      <c r="AK2072" s="1" t="s">
        <v>34</v>
      </c>
      <c r="BH2072" s="1" t="s">
        <v>57</v>
      </c>
      <c r="BW2072" s="1" t="s">
        <v>72</v>
      </c>
      <c r="DD2072" s="1" t="s">
        <v>105</v>
      </c>
    </row>
    <row r="2073" spans="1:108" ht="14.25" customHeight="1" x14ac:dyDescent="0.3">
      <c r="A2073" s="1" t="s">
        <v>2214</v>
      </c>
      <c r="B2073" s="1" t="str">
        <f ca="1">IFERROR(__xludf.DUMMYFUNCTION("GOOGLETRANSLATE(A2073, ""en"", ""fr"")"),"G24")</f>
        <v>G24</v>
      </c>
      <c r="M2073" s="1" t="s">
        <v>10</v>
      </c>
    </row>
    <row r="2074" spans="1:108" ht="14.25" customHeight="1" x14ac:dyDescent="0.3">
      <c r="A2074" s="1" t="s">
        <v>2215</v>
      </c>
      <c r="B2074" s="1" t="str">
        <f ca="1">IFERROR(__xludf.DUMMYFUNCTION("GOOGLETRANSLATE(A2074, ""en"", ""fr"")"),"G5")</f>
        <v>G5</v>
      </c>
      <c r="M2074" s="1" t="s">
        <v>10</v>
      </c>
    </row>
    <row r="2075" spans="1:108" ht="14.25" customHeight="1" x14ac:dyDescent="0.3">
      <c r="A2075" s="1" t="s">
        <v>2216</v>
      </c>
      <c r="B2075" s="1" t="str">
        <f ca="1">IFERROR(__xludf.DUMMYFUNCTION("GOOGLETRANSLATE(A2075, ""en"", ""fr"")"),"G-7")</f>
        <v>G-7</v>
      </c>
      <c r="M2075" s="1" t="s">
        <v>10</v>
      </c>
    </row>
    <row r="2076" spans="1:108" ht="14.25" customHeight="1" x14ac:dyDescent="0.3">
      <c r="A2076" s="1" t="s">
        <v>2217</v>
      </c>
      <c r="B2076" s="1" t="str">
        <f ca="1">IFERROR(__xludf.DUMMYFUNCTION("GOOGLETRANSLATE(A2076, ""en"", ""fr"")"),"pavage")</f>
        <v>pavage</v>
      </c>
      <c r="CR2076" s="1" t="s">
        <v>93</v>
      </c>
    </row>
    <row r="2077" spans="1:108" ht="14.25" customHeight="1" x14ac:dyDescent="0.3">
      <c r="A2077" s="1" t="s">
        <v>2218</v>
      </c>
      <c r="B2077" s="1" t="str">
        <f ca="1">IFERROR(__xludf.DUMMYFUNCTION("GOOGLETRANSLATE(A2077, ""en"", ""fr"")"),"gachsaran")</f>
        <v>gachsaran</v>
      </c>
      <c r="AU2077" s="1" t="s">
        <v>44</v>
      </c>
      <c r="BK2077" s="1" t="s">
        <v>60</v>
      </c>
      <c r="DD2077" s="1" t="s">
        <v>105</v>
      </c>
    </row>
    <row r="2078" spans="1:108" ht="14.25" customHeight="1" x14ac:dyDescent="0.3">
      <c r="A2078" s="1" t="s">
        <v>2219</v>
      </c>
      <c r="B2078" s="1" t="str">
        <f ca="1">IFERROR(__xludf.DUMMYFUNCTION("GOOGLETRANSLATE(A2078, ""en"", ""fr"")"),"GAGNER")</f>
        <v>GAGNER</v>
      </c>
      <c r="H2078" s="1" t="s">
        <v>4964</v>
      </c>
    </row>
    <row r="2079" spans="1:108" ht="14.25" customHeight="1" x14ac:dyDescent="0.3">
      <c r="A2079" s="1" t="s">
        <v>2220</v>
      </c>
      <c r="B2079" s="1" t="str">
        <f ca="1">IFERROR(__xludf.DUMMYFUNCTION("GOOGLETRANSLATE(A2079, ""en"", ""fr"")"),"Acquis")</f>
        <v>Acquis</v>
      </c>
      <c r="H2079" s="1" t="s">
        <v>4964</v>
      </c>
    </row>
    <row r="2080" spans="1:108" ht="14.25" customHeight="1" x14ac:dyDescent="0.3">
      <c r="A2080" s="1" t="s">
        <v>2221</v>
      </c>
      <c r="B2080" s="1" t="str">
        <f ca="1">IFERROR(__xludf.DUMMYFUNCTION("GOOGLETRANSLATE(A2080, ""en"", ""fr"")"),"Gain")</f>
        <v>Gain</v>
      </c>
      <c r="H2080" s="1" t="s">
        <v>4964</v>
      </c>
    </row>
    <row r="2081" spans="1:142" ht="14.25" customHeight="1" x14ac:dyDescent="0.3">
      <c r="A2081" s="1" t="s">
        <v>2222</v>
      </c>
      <c r="B2081" s="1" t="str">
        <f ca="1">IFERROR(__xludf.DUMMYFUNCTION("GOOGLETRANSLATE(A2081, ""en"", ""fr"")"),"Gains")</f>
        <v>Gains</v>
      </c>
      <c r="H2081" s="1" t="s">
        <v>4964</v>
      </c>
    </row>
    <row r="2082" spans="1:142" ht="14.25" customHeight="1" x14ac:dyDescent="0.3">
      <c r="A2082" s="1" t="s">
        <v>2223</v>
      </c>
      <c r="B2082" s="1" t="str">
        <f ca="1">IFERROR(__xludf.DUMMYFUNCTION("GOOGLETRANSLATE(A2082, ""en"", ""fr"")"),"Galeota Mix")</f>
        <v>Galeota Mix</v>
      </c>
      <c r="R2082" s="1" t="s">
        <v>15</v>
      </c>
      <c r="CS2082" s="1" t="s">
        <v>94</v>
      </c>
    </row>
    <row r="2083" spans="1:142" ht="14.25" customHeight="1" x14ac:dyDescent="0.3">
      <c r="A2083" s="1" t="s">
        <v>2224</v>
      </c>
      <c r="B2083" s="1" t="str">
        <f ca="1">IFERROR(__xludf.DUMMYFUNCTION("GOOGLETRANSLATE(A2083, ""en"", ""fr"")"),"Gao")</f>
        <v>Gao</v>
      </c>
      <c r="M2083" s="1" t="s">
        <v>10</v>
      </c>
    </row>
    <row r="2084" spans="1:142" ht="14.25" customHeight="1" x14ac:dyDescent="0.3">
      <c r="A2084" s="1" t="s">
        <v>2225</v>
      </c>
      <c r="B2084" s="1" t="str">
        <f ca="1">IFERROR(__xludf.DUMMYFUNCTION("GOOGLETRANSLATE(A2084, ""en"", ""fr"")"),"gaz")</f>
        <v>gaz</v>
      </c>
      <c r="CS2084" s="1" t="s">
        <v>94</v>
      </c>
    </row>
    <row r="2085" spans="1:142" ht="14.25" customHeight="1" x14ac:dyDescent="0.3">
      <c r="A2085" s="1" t="s">
        <v>2226</v>
      </c>
      <c r="B2085" s="1" t="str">
        <f ca="1">IFERROR(__xludf.DUMMYFUNCTION("GOOGLETRANSLATE(A2085, ""en"", ""fr"")"),"Capuchon de gaz")</f>
        <v>Capuchon de gaz</v>
      </c>
      <c r="E2085" s="1" t="s">
        <v>3</v>
      </c>
    </row>
    <row r="2086" spans="1:142" ht="14.25" customHeight="1" x14ac:dyDescent="0.3">
      <c r="A2086" s="1" t="s">
        <v>2227</v>
      </c>
      <c r="B2086" s="1" t="str">
        <f ca="1">IFERROR(__xludf.DUMMYFUNCTION("GOOGLETRANSLATE(A2086, ""en"", ""fr"")"),"Champ d'essence")</f>
        <v>Champ d'essence</v>
      </c>
      <c r="E2086" s="1" t="s">
        <v>3</v>
      </c>
    </row>
    <row r="2087" spans="1:142" ht="14.25" customHeight="1" x14ac:dyDescent="0.3">
      <c r="A2087" s="1" t="s">
        <v>2228</v>
      </c>
      <c r="B2087" s="1" t="str">
        <f ca="1">IFERROR(__xludf.DUMMYFUNCTION("GOOGLETRANSLATE(A2087, ""en"", ""fr"")"),"Système de collecte de gaz")</f>
        <v>Système de collecte de gaz</v>
      </c>
      <c r="E2087" s="1" t="s">
        <v>3</v>
      </c>
    </row>
    <row r="2088" spans="1:142" ht="14.25" customHeight="1" x14ac:dyDescent="0.3">
      <c r="A2088" s="1" t="s">
        <v>2229</v>
      </c>
      <c r="B2088" s="1" t="str">
        <f ca="1">IFERROR(__xludf.DUMMYFUNCTION("GOOGLETRANSLATE(A2088, ""en"", ""fr"")"),"Injection de gaz")</f>
        <v>Injection de gaz</v>
      </c>
      <c r="E2088" s="1" t="s">
        <v>3</v>
      </c>
    </row>
    <row r="2089" spans="1:142" ht="14.25" customHeight="1" x14ac:dyDescent="0.3">
      <c r="A2089" s="1" t="s">
        <v>2230</v>
      </c>
      <c r="B2089" s="1" t="str">
        <f ca="1">IFERROR(__xludf.DUMMYFUNCTION("GOOGLETRANSLATE(A2089, ""en"", ""fr"")"),"Ascenseur de gaz")</f>
        <v>Ascenseur de gaz</v>
      </c>
      <c r="E2089" s="1" t="s">
        <v>3</v>
      </c>
    </row>
    <row r="2090" spans="1:142" ht="14.25" customHeight="1" x14ac:dyDescent="0.3">
      <c r="A2090" s="1" t="s">
        <v>2231</v>
      </c>
      <c r="B2090" s="1" t="str">
        <f ca="1">IFERROR(__xludf.DUMMYFUNCTION("GOOGLETRANSLATE(A2090, ""en"", ""fr"")"),"Pétrole à gaz")</f>
        <v>Pétrole à gaz</v>
      </c>
      <c r="EL2090" s="1" t="s">
        <v>139</v>
      </c>
    </row>
    <row r="2091" spans="1:142" ht="14.25" customHeight="1" x14ac:dyDescent="0.3">
      <c r="A2091" s="1" t="s">
        <v>2232</v>
      </c>
      <c r="B2091" s="1" t="str">
        <f ca="1">IFERROR(__xludf.DUMMYFUNCTION("GOOGLETRANSLATE(A2091, ""en"", ""fr"")"),"Ratio d'huile à gaz")</f>
        <v>Ratio d'huile à gaz</v>
      </c>
      <c r="E2091" s="1" t="s">
        <v>3</v>
      </c>
    </row>
    <row r="2092" spans="1:142" ht="14.25" customHeight="1" x14ac:dyDescent="0.3">
      <c r="A2092" s="1" t="s">
        <v>2233</v>
      </c>
      <c r="B2092" s="1" t="str">
        <f ca="1">IFERROR(__xludf.DUMMYFUNCTION("GOOGLETRANSLATE(A2092, ""en"", ""fr"")"),"Condensat à gaz")</f>
        <v>Condensat à gaz</v>
      </c>
      <c r="EL2092" s="1" t="s">
        <v>139</v>
      </c>
    </row>
    <row r="2093" spans="1:142" ht="14.25" customHeight="1" x14ac:dyDescent="0.3">
      <c r="A2093" s="1" t="s">
        <v>2234</v>
      </c>
      <c r="B2093" s="1" t="str">
        <f ca="1">IFERROR(__xludf.DUMMYFUNCTION("GOOGLETRANSLATE(A2093, ""en"", ""fr"")"),"Traitement du gaz")</f>
        <v>Traitement du gaz</v>
      </c>
      <c r="E2093" s="1" t="s">
        <v>3</v>
      </c>
    </row>
    <row r="2094" spans="1:142" ht="14.25" customHeight="1" x14ac:dyDescent="0.3">
      <c r="A2094" s="1" t="s">
        <v>2235</v>
      </c>
      <c r="B2094" s="1" t="str">
        <f ca="1">IFERROR(__xludf.DUMMYFUNCTION("GOOGLETRANSLATE(A2094, ""en"", ""fr"")"),"Traitement au gaz")</f>
        <v>Traitement au gaz</v>
      </c>
      <c r="E2094" s="1" t="s">
        <v>3</v>
      </c>
    </row>
    <row r="2095" spans="1:142" ht="14.25" customHeight="1" x14ac:dyDescent="0.3">
      <c r="A2095" s="1" t="s">
        <v>2236</v>
      </c>
      <c r="B2095" s="1" t="str">
        <f ca="1">IFERROR(__xludf.DUMMYFUNCTION("GOOGLETRANSLATE(A2095, ""en"", ""fr"")"),"pétrole")</f>
        <v>pétrole</v>
      </c>
      <c r="R2095" s="1" t="s">
        <v>15</v>
      </c>
    </row>
    <row r="2096" spans="1:142" ht="14.25" customHeight="1" x14ac:dyDescent="0.3">
      <c r="A2096" s="1" t="s">
        <v>2237</v>
      </c>
      <c r="B2096" s="1" t="str">
        <f ca="1">IFERROR(__xludf.DUMMYFUNCTION("GOOGLETRANSLATE(A2096, ""en"", ""fr"")"),"de l'essence")</f>
        <v>de l'essence</v>
      </c>
      <c r="R2096" s="1" t="s">
        <v>15</v>
      </c>
    </row>
    <row r="2097" spans="1:142" ht="14.25" customHeight="1" x14ac:dyDescent="0.3">
      <c r="A2097" s="1" t="s">
        <v>2238</v>
      </c>
      <c r="B2097" s="1" t="str">
        <f ca="1">IFERROR(__xludf.DUMMYFUNCTION("GOOGLETRANSLATE(A2097, ""en"", ""fr"")"),"Rapport gaz / huile")</f>
        <v>Rapport gaz / huile</v>
      </c>
      <c r="EL2097" s="1" t="s">
        <v>139</v>
      </c>
    </row>
    <row r="2098" spans="1:142" ht="14.25" customHeight="1" x14ac:dyDescent="0.3">
      <c r="A2098" s="1" t="s">
        <v>2239</v>
      </c>
      <c r="B2098" s="1" t="str">
        <f ca="1">IFERROR(__xludf.DUMMYFUNCTION("GOOGLETRANSLATE(A2098, ""en"", ""fr"")"),"gatte")</f>
        <v>gatte</v>
      </c>
      <c r="M2098" s="1" t="s">
        <v>10</v>
      </c>
    </row>
    <row r="2099" spans="1:142" ht="14.25" customHeight="1" x14ac:dyDescent="0.3">
      <c r="A2099" s="1" t="s">
        <v>2240</v>
      </c>
      <c r="B2099" s="1" t="str">
        <f ca="1">IFERROR(__xludf.DUMMYFUNCTION("GOOGLETRANSLATE(A2099, ""en"", ""fr"")"),"a donné")</f>
        <v>a donné</v>
      </c>
      <c r="J2099" s="1" t="s">
        <v>7</v>
      </c>
    </row>
    <row r="2100" spans="1:142" ht="14.25" customHeight="1" x14ac:dyDescent="0.3">
      <c r="A2100" s="1" t="s">
        <v>2241</v>
      </c>
      <c r="B2100" s="1" t="str">
        <f ca="1">IFERROR(__xludf.DUMMYFUNCTION("GOOGLETRANSLATE(A2100, ""en"", ""fr"")"),"gazprom")</f>
        <v>gazprom</v>
      </c>
      <c r="AB2100" s="1" t="s">
        <v>25</v>
      </c>
      <c r="BL2100" s="1" t="s">
        <v>61</v>
      </c>
      <c r="DT2100" s="1" t="s">
        <v>121</v>
      </c>
    </row>
    <row r="2101" spans="1:142" ht="14.25" customHeight="1" x14ac:dyDescent="0.3">
      <c r="A2101" s="1" t="s">
        <v>2242</v>
      </c>
      <c r="B2101" s="1" t="str">
        <f ca="1">IFERROR(__xludf.DUMMYFUNCTION("GOOGLETRANSLATE(A2101, ""en"", ""fr"")"),"Gazprom neft")</f>
        <v>Gazprom neft</v>
      </c>
      <c r="AB2101" s="1" t="s">
        <v>25</v>
      </c>
      <c r="BL2101" s="1" t="s">
        <v>61</v>
      </c>
      <c r="DT2101" s="1" t="s">
        <v>121</v>
      </c>
    </row>
    <row r="2102" spans="1:142" ht="14.25" customHeight="1" x14ac:dyDescent="0.3">
      <c r="A2102" s="1" t="s">
        <v>2243</v>
      </c>
      <c r="B2102" s="1" t="str">
        <f ca="1">IFERROR(__xludf.DUMMYFUNCTION("GOOGLETRANSLATE(A2102, ""en"", ""fr"")"),"PIB")</f>
        <v>PIB</v>
      </c>
      <c r="M2102" s="1" t="s">
        <v>10</v>
      </c>
    </row>
    <row r="2103" spans="1:142" ht="14.25" customHeight="1" x14ac:dyDescent="0.3">
      <c r="A2103" s="1" t="s">
        <v>2244</v>
      </c>
      <c r="B2103" s="1" t="str">
        <f ca="1">IFERROR(__xludf.DUMMYFUNCTION("GOOGLETRANSLATE(A2103, ""en"", ""fr"")"),"Déflateur du PIB")</f>
        <v>Déflateur du PIB</v>
      </c>
      <c r="M2103" s="1" t="s">
        <v>10</v>
      </c>
    </row>
    <row r="2104" spans="1:142" ht="14.25" customHeight="1" x14ac:dyDescent="0.3">
      <c r="A2104" s="1" t="s">
        <v>2245</v>
      </c>
      <c r="B2104" s="1" t="str">
        <f ca="1">IFERROR(__xludf.DUMMYFUNCTION("GOOGLETRANSLATE(A2104, ""en"", ""fr"")"),"PIB Implicit Prix Deflateur")</f>
        <v>PIB Implicit Prix Deflateur</v>
      </c>
      <c r="M2104" s="1" t="s">
        <v>10</v>
      </c>
    </row>
    <row r="2105" spans="1:142" ht="14.25" customHeight="1" x14ac:dyDescent="0.3">
      <c r="A2105" s="1" t="s">
        <v>2246</v>
      </c>
      <c r="B2105" s="1" t="str">
        <f ca="1">IFERROR(__xludf.DUMMYFUNCTION("GOOGLETRANSLATE(A2105, ""en"", ""fr"")"),"PIB par habitant")</f>
        <v>PIB par habitant</v>
      </c>
      <c r="M2105" s="1" t="s">
        <v>10</v>
      </c>
    </row>
    <row r="2106" spans="1:142" ht="14.25" customHeight="1" x14ac:dyDescent="0.3">
      <c r="A2106" s="1" t="s">
        <v>2247</v>
      </c>
      <c r="B2106" s="1" t="str">
        <f ca="1">IFERROR(__xludf.DUMMYFUNCTION("GOOGLETRANSLATE(A2106, ""en"", ""fr"")"),"Accord général sur les tarifs douaniers et le commerce")</f>
        <v>Accord général sur les tarifs douaniers et le commerce</v>
      </c>
      <c r="M2106" s="1" t="s">
        <v>10</v>
      </c>
    </row>
    <row r="2107" spans="1:142" ht="14.25" customHeight="1" x14ac:dyDescent="0.3">
      <c r="A2107" s="1" t="s">
        <v>2248</v>
      </c>
      <c r="B2107" s="1" t="str">
        <f ca="1">IFERROR(__xludf.DUMMYFUNCTION("GOOGLETRANSLATE(A2107, ""en"", ""fr"")"),"Indicateur General Motors")</f>
        <v>Indicateur General Motors</v>
      </c>
      <c r="M2107" s="1" t="s">
        <v>10</v>
      </c>
    </row>
    <row r="2108" spans="1:142" ht="14.25" customHeight="1" x14ac:dyDescent="0.3">
      <c r="A2108" s="1" t="s">
        <v>2249</v>
      </c>
      <c r="B2108" s="1" t="str">
        <f ca="1">IFERROR(__xludf.DUMMYFUNCTION("GOOGLETRANSLATE(A2108, ""en"", ""fr"")"),"Géophysique")</f>
        <v>Géophysique</v>
      </c>
      <c r="AY2108" s="1" t="s">
        <v>48</v>
      </c>
    </row>
    <row r="2109" spans="1:142" ht="14.25" customHeight="1" x14ac:dyDescent="0.3">
      <c r="A2109" s="1" t="s">
        <v>2250</v>
      </c>
      <c r="B2109" s="1" t="str">
        <f ca="1">IFERROR(__xludf.DUMMYFUNCTION("GOOGLETRANSLATE(A2109, ""en"", ""fr"")"),"Allemagne")</f>
        <v>Allemagne</v>
      </c>
      <c r="AR2109" s="1" t="s">
        <v>41</v>
      </c>
      <c r="BN2109" s="1" t="s">
        <v>63</v>
      </c>
      <c r="EK2109" s="1" t="s">
        <v>138</v>
      </c>
    </row>
    <row r="2110" spans="1:142" ht="14.25" customHeight="1" x14ac:dyDescent="0.3">
      <c r="A2110" s="1" t="s">
        <v>2251</v>
      </c>
      <c r="B2110" s="1" t="str">
        <f ca="1">IFERROR(__xludf.DUMMYFUNCTION("GOOGLETRANSLATE(A2110, ""en"", ""fr"")"),"Ghawar")</f>
        <v>Ghawar</v>
      </c>
      <c r="AN2110" s="1" t="s">
        <v>37</v>
      </c>
      <c r="AU2110" s="1" t="s">
        <v>44</v>
      </c>
      <c r="BS2110" s="1" t="s">
        <v>68</v>
      </c>
      <c r="DD2110" s="1" t="s">
        <v>105</v>
      </c>
    </row>
    <row r="2111" spans="1:142" ht="14.25" customHeight="1" x14ac:dyDescent="0.3">
      <c r="A2111" s="1" t="s">
        <v>2252</v>
      </c>
      <c r="B2111" s="1" t="str">
        <f ca="1">IFERROR(__xludf.DUMMYFUNCTION("GOOGLETRANSLATE(A2111, ""en"", ""fr"")"),"Ginzel")</f>
        <v>Ginzel</v>
      </c>
      <c r="E2111" s="1" t="s">
        <v>3</v>
      </c>
    </row>
    <row r="2112" spans="1:142" ht="14.25" customHeight="1" x14ac:dyDescent="0.3">
      <c r="A2112" s="1" t="s">
        <v>2253</v>
      </c>
      <c r="B2112" s="1" t="str">
        <f ca="1">IFERROR(__xludf.DUMMYFUNCTION("GOOGLETRANSLATE(A2112, ""en"", ""fr"")"),"Gippsland")</f>
        <v>Gippsland</v>
      </c>
      <c r="R2112" s="1" t="s">
        <v>15</v>
      </c>
      <c r="CS2112" s="1" t="s">
        <v>94</v>
      </c>
    </row>
    <row r="2113" spans="1:97" ht="14.25" customHeight="1" x14ac:dyDescent="0.3">
      <c r="A2113" s="1" t="s">
        <v>2254</v>
      </c>
      <c r="B2113" s="1" t="str">
        <f ca="1">IFERROR(__xludf.DUMMYFUNCTION("GOOGLETRANSLATE(A2113, ""en"", ""fr"")"),"Girassol")</f>
        <v>Girassol</v>
      </c>
      <c r="R2113" s="1" t="s">
        <v>15</v>
      </c>
      <c r="CS2113" s="1" t="s">
        <v>94</v>
      </c>
    </row>
    <row r="2114" spans="1:97" ht="14.25" customHeight="1" x14ac:dyDescent="0.3">
      <c r="A2114" s="1" t="s">
        <v>2255</v>
      </c>
      <c r="B2114" s="1" t="str">
        <f ca="1">IFERROR(__xludf.DUMMYFUNCTION("GOOGLETRANSLATE(A2114, ""en"", ""fr"")"),"donner")</f>
        <v>donner</v>
      </c>
      <c r="J2114" s="1" t="s">
        <v>7</v>
      </c>
    </row>
    <row r="2115" spans="1:97" ht="14.25" customHeight="1" x14ac:dyDescent="0.3">
      <c r="A2115" s="1" t="s">
        <v>2256</v>
      </c>
      <c r="B2115" s="1" t="str">
        <f ca="1">IFERROR(__xludf.DUMMYFUNCTION("GOOGLETRANSLATE(A2115, ""en"", ""fr"")"),"donné")</f>
        <v>donné</v>
      </c>
      <c r="J2115" s="1" t="s">
        <v>7</v>
      </c>
    </row>
    <row r="2116" spans="1:97" ht="14.25" customHeight="1" x14ac:dyDescent="0.3">
      <c r="A2116" s="1" t="s">
        <v>2257</v>
      </c>
      <c r="B2116" s="1" t="str">
        <f ca="1">IFERROR(__xludf.DUMMYFUNCTION("GOOGLETRANSLATE(A2116, ""en"", ""fr"")"),"Faster")</f>
        <v>Faster</v>
      </c>
      <c r="R2116" s="1" t="s">
        <v>15</v>
      </c>
      <c r="CS2116" s="1" t="s">
        <v>94</v>
      </c>
    </row>
    <row r="2117" spans="1:97" ht="14.25" customHeight="1" x14ac:dyDescent="0.3">
      <c r="A2117" s="1" t="s">
        <v>2258</v>
      </c>
      <c r="B2117" s="1" t="str">
        <f ca="1">IFERROR(__xludf.DUMMYFUNCTION("GOOGLETRANSLATE(A2117, ""en"", ""fr"")"),"Évanouissement mondial")</f>
        <v>Évanouissement mondial</v>
      </c>
      <c r="M2117" s="1" t="s">
        <v>10</v>
      </c>
    </row>
    <row r="2118" spans="1:97" ht="14.25" customHeight="1" x14ac:dyDescent="0.3">
      <c r="A2118" s="1" t="s">
        <v>2259</v>
      </c>
      <c r="B2118" s="1" t="str">
        <f ca="1">IFERROR(__xludf.DUMMYFUNCTION("GOOGLETRANSLATE(A2118, ""en"", ""fr"")"),"Indice mondial des centres financiers")</f>
        <v>Indice mondial des centres financiers</v>
      </c>
      <c r="M2118" s="1" t="s">
        <v>10</v>
      </c>
    </row>
    <row r="2119" spans="1:97" ht="14.25" customHeight="1" x14ac:dyDescent="0.3">
      <c r="A2119" s="1" t="s">
        <v>2260</v>
      </c>
      <c r="B2119" s="1" t="str">
        <f ca="1">IFERROR(__xludf.DUMMYFUNCTION("GOOGLETRANSLATE(A2119, ""en"", ""fr"")"),"compression globale")</f>
        <v>compression globale</v>
      </c>
      <c r="M2119" s="1" t="s">
        <v>10</v>
      </c>
    </row>
    <row r="2120" spans="1:97" ht="14.25" customHeight="1" x14ac:dyDescent="0.3">
      <c r="A2120" s="1" t="s">
        <v>2261</v>
      </c>
      <c r="B2120" s="1" t="str">
        <f ca="1">IFERROR(__xludf.DUMMYFUNCTION("GOOGLETRANSLATE(A2120, ""en"", ""fr"")"),"PNB")</f>
        <v>PNB</v>
      </c>
      <c r="M2120" s="1" t="s">
        <v>10</v>
      </c>
    </row>
    <row r="2121" spans="1:97" ht="14.25" customHeight="1" x14ac:dyDescent="0.3">
      <c r="A2121" s="1" t="s">
        <v>2262</v>
      </c>
      <c r="B2121" s="1" t="str">
        <f ca="1">IFERROR(__xludf.DUMMYFUNCTION("GOOGLETRANSLATE(A2121, ""en"", ""fr"")"),"déflateur du GNP")</f>
        <v>déflateur du GNP</v>
      </c>
      <c r="M2121" s="1" t="s">
        <v>10</v>
      </c>
    </row>
    <row r="2122" spans="1:97" ht="14.25" customHeight="1" x14ac:dyDescent="0.3">
      <c r="A2122" s="1" t="s">
        <v>2263</v>
      </c>
      <c r="B2122" s="1" t="str">
        <f ca="1">IFERROR(__xludf.DUMMYFUNCTION("GOOGLETRANSLATE(A2122, ""en"", ""fr"")"),"espace de gnp")</f>
        <v>espace de gnp</v>
      </c>
      <c r="M2122" s="1" t="s">
        <v>10</v>
      </c>
    </row>
    <row r="2123" spans="1:97" ht="14.25" customHeight="1" x14ac:dyDescent="0.3">
      <c r="A2123" s="1" t="s">
        <v>2264</v>
      </c>
      <c r="B2123" s="1" t="str">
        <f ca="1">IFERROR(__xludf.DUMMYFUNCTION("GOOGLETRANSLATE(A2123, ""en"", ""fr"")"),"aller")</f>
        <v>aller</v>
      </c>
      <c r="J2123" s="1" t="s">
        <v>7</v>
      </c>
    </row>
    <row r="2124" spans="1:97" ht="14.25" customHeight="1" x14ac:dyDescent="0.3">
      <c r="A2124" s="1" t="s">
        <v>2265</v>
      </c>
      <c r="B2124" s="1" t="str">
        <f ca="1">IFERROR(__xludf.DUMMYFUNCTION("GOOGLETRANSLATE(A2124, ""en"", ""fr"")"),"va")</f>
        <v>va</v>
      </c>
      <c r="J2124" s="1" t="s">
        <v>7</v>
      </c>
    </row>
    <row r="2125" spans="1:97" ht="14.25" customHeight="1" x14ac:dyDescent="0.3">
      <c r="A2125" s="1" t="s">
        <v>2266</v>
      </c>
      <c r="B2125" s="1" t="str">
        <f ca="1">IFERROR(__xludf.DUMMYFUNCTION("GOOGLETRANSLATE(A2125, ""en"", ""fr"")"),"en allant")</f>
        <v>en allant</v>
      </c>
      <c r="J2125" s="1" t="s">
        <v>7</v>
      </c>
    </row>
    <row r="2126" spans="1:97" ht="14.25" customHeight="1" x14ac:dyDescent="0.3">
      <c r="A2126" s="1" t="s">
        <v>2267</v>
      </c>
      <c r="B2126" s="1" t="str">
        <f ca="1">IFERROR(__xludf.DUMMYFUNCTION("GOOGLETRANSLATE(A2126, ""en"", ""fr"")"),"or")</f>
        <v>or</v>
      </c>
      <c r="G2126" s="1" t="s">
        <v>5</v>
      </c>
    </row>
    <row r="2127" spans="1:97" ht="14.25" customHeight="1" x14ac:dyDescent="0.3">
      <c r="A2127" s="1" t="s">
        <v>2268</v>
      </c>
      <c r="B2127" s="1" t="str">
        <f ca="1">IFERROR(__xludf.DUMMYFUNCTION("GOOGLETRANSLATE(A2127, ""en"", ""fr"")"),"Goldilocks économie")</f>
        <v>Goldilocks économie</v>
      </c>
      <c r="M2127" s="1" t="s">
        <v>10</v>
      </c>
    </row>
    <row r="2128" spans="1:97" ht="14.25" customHeight="1" x14ac:dyDescent="0.3">
      <c r="A2128" s="1" t="s">
        <v>2269</v>
      </c>
      <c r="B2128" s="1" t="str">
        <f ca="1">IFERROR(__xludf.DUMMYFUNCTION("GOOGLETRANSLATE(A2128, ""en"", ""fr"")"),"disparu")</f>
        <v>disparu</v>
      </c>
      <c r="J2128" s="1" t="s">
        <v>7</v>
      </c>
    </row>
    <row r="2129" spans="1:97" ht="14.25" customHeight="1" x14ac:dyDescent="0.3">
      <c r="A2129" s="1" t="s">
        <v>2270</v>
      </c>
      <c r="B2129" s="1" t="str">
        <f ca="1">IFERROR(__xludf.DUMMYFUNCTION("GOOGLETRANSLATE(A2129, ""en"", ""fr"")"),"BIEN")</f>
        <v>BIEN</v>
      </c>
      <c r="H2129" s="1" t="s">
        <v>4964</v>
      </c>
    </row>
    <row r="2130" spans="1:97" ht="14.25" customHeight="1" x14ac:dyDescent="0.3">
      <c r="A2130" s="1" t="s">
        <v>2271</v>
      </c>
      <c r="B2130" s="1" t="str">
        <f ca="1">IFERROR(__xludf.DUMMYFUNCTION("GOOGLETRANSLATE(A2130, ""en"", ""fr"")"),"marchandises")</f>
        <v>marchandises</v>
      </c>
      <c r="M2130" s="1" t="s">
        <v>10</v>
      </c>
    </row>
    <row r="2131" spans="1:97" ht="14.25" customHeight="1" x14ac:dyDescent="0.3">
      <c r="A2131" s="1" t="s">
        <v>2272</v>
      </c>
      <c r="B2131" s="1" t="str">
        <f ca="1">IFERROR(__xludf.DUMMYFUNCTION("GOOGLETRANSLATE(A2131, ""en"", ""fr"")"),"Bonne volonté")</f>
        <v>Bonne volonté</v>
      </c>
      <c r="CR2131" s="1" t="s">
        <v>93</v>
      </c>
    </row>
    <row r="2132" spans="1:97" ht="14.25" customHeight="1" x14ac:dyDescent="0.3">
      <c r="A2132" s="1" t="s">
        <v>2273</v>
      </c>
      <c r="B2132" s="1" t="str">
        <f ca="1">IFERROR(__xludf.DUMMYFUNCTION("GOOGLETRANSLATE(A2132, ""en"", ""fr"")"),"a obtenu")</f>
        <v>a obtenu</v>
      </c>
      <c r="J2132" s="1" t="s">
        <v>7</v>
      </c>
    </row>
    <row r="2133" spans="1:97" ht="14.25" customHeight="1" x14ac:dyDescent="0.3">
      <c r="A2133" s="1" t="s">
        <v>2274</v>
      </c>
      <c r="B2133" s="1" t="str">
        <f ca="1">IFERROR(__xludf.DUMMYFUNCTION("GOOGLETRANSLATE(A2133, ""en"", ""fr"")"),"se promener")</f>
        <v>se promener</v>
      </c>
      <c r="J2133" s="1" t="s">
        <v>7</v>
      </c>
    </row>
    <row r="2134" spans="1:97" ht="14.25" customHeight="1" x14ac:dyDescent="0.3">
      <c r="A2134" s="1" t="s">
        <v>2275</v>
      </c>
      <c r="B2134" s="1" t="str">
        <f ca="1">IFERROR(__xludf.DUMMYFUNCTION("GOOGLETRANSLATE(A2134, ""en"", ""fr"")"),"Bureau de responsabilité du gouvernement")</f>
        <v>Bureau de responsabilité du gouvernement</v>
      </c>
      <c r="M2134" s="1" t="s">
        <v>10</v>
      </c>
    </row>
    <row r="2135" spans="1:97" ht="14.25" customHeight="1" x14ac:dyDescent="0.3">
      <c r="A2135" s="1" t="s">
        <v>2276</v>
      </c>
      <c r="B2135" s="1" t="str">
        <f ca="1">IFERROR(__xludf.DUMMYFUNCTION("GOOGLETRANSLATE(A2135, ""en"", ""fr"")"),"dépenses publiques")</f>
        <v>dépenses publiques</v>
      </c>
      <c r="M2135" s="1" t="s">
        <v>10</v>
      </c>
    </row>
    <row r="2136" spans="1:97" ht="14.25" customHeight="1" x14ac:dyDescent="0.3">
      <c r="A2136" s="1" t="s">
        <v>2277</v>
      </c>
      <c r="B2136" s="1" t="str">
        <f ca="1">IFERROR(__xludf.DUMMYFUNCTION("GOOGLETRANSLATE(A2136, ""en"", ""fr"")"),"stimulus du gouvernement")</f>
        <v>stimulus du gouvernement</v>
      </c>
      <c r="M2136" s="1" t="s">
        <v>10</v>
      </c>
    </row>
    <row r="2137" spans="1:97" ht="14.25" customHeight="1" x14ac:dyDescent="0.3">
      <c r="A2137" s="1" t="s">
        <v>2278</v>
      </c>
      <c r="B2137" s="1" t="str">
        <f ca="1">IFERROR(__xludf.DUMMYFUNCTION("GOOGLETRANSLATE(A2137, ""en"", ""fr"")"),"Grenier")</f>
        <v>Grenier</v>
      </c>
      <c r="R2137" s="1" t="s">
        <v>15</v>
      </c>
      <c r="CS2137" s="1" t="s">
        <v>94</v>
      </c>
    </row>
    <row r="2138" spans="1:97" ht="14.25" customHeight="1" x14ac:dyDescent="0.3">
      <c r="A2138" s="1" t="s">
        <v>2279</v>
      </c>
      <c r="B2138" s="1" t="str">
        <f ca="1">IFERROR(__xludf.DUMMYFUNCTION("GOOGLETRANSLATE(A2138, ""en"", ""fr"")"),"GRATUIT")</f>
        <v>GRATUIT</v>
      </c>
      <c r="D2138" s="1" t="s">
        <v>4963</v>
      </c>
    </row>
    <row r="2139" spans="1:97" ht="14.25" customHeight="1" x14ac:dyDescent="0.3">
      <c r="A2139" s="1" t="s">
        <v>2280</v>
      </c>
      <c r="B2139" s="1" t="str">
        <f ca="1">IFERROR(__xludf.DUMMYFUNCTION("GOOGLETRANSLATE(A2139, ""en"", ""fr"")"),"Gratuit")</f>
        <v>Gratuit</v>
      </c>
      <c r="D2139" s="1" t="s">
        <v>4963</v>
      </c>
    </row>
    <row r="2140" spans="1:97" ht="14.25" customHeight="1" x14ac:dyDescent="0.3">
      <c r="A2140" s="1" t="s">
        <v>2281</v>
      </c>
      <c r="B2140" s="1" t="str">
        <f ca="1">IFERROR(__xludf.DUMMYFUNCTION("GOOGLETRANSLATE(A2140, ""en"", ""fr"")"),"La gravité")</f>
        <v>La gravité</v>
      </c>
      <c r="E2140" s="1" t="s">
        <v>3</v>
      </c>
    </row>
    <row r="2141" spans="1:97" ht="14.25" customHeight="1" x14ac:dyDescent="0.3">
      <c r="A2141" s="1" t="s">
        <v>2282</v>
      </c>
      <c r="B2141" s="1" t="str">
        <f ca="1">IFERROR(__xludf.DUMMYFUNCTION("GOOGLETRANSLATE(A2141, ""en"", ""fr"")"),"Structures de gravité")</f>
        <v>Structures de gravité</v>
      </c>
      <c r="E2141" s="1" t="s">
        <v>3</v>
      </c>
    </row>
    <row r="2142" spans="1:97" ht="14.25" customHeight="1" x14ac:dyDescent="0.3">
      <c r="A2142" s="1" t="s">
        <v>2283</v>
      </c>
      <c r="B2142" s="1" t="str">
        <f ca="1">IFERROR(__xludf.DUMMYFUNCTION("GOOGLETRANSLATE(A2142, ""en"", ""fr"")"),"Enquêtes sur la gravité")</f>
        <v>Enquêtes sur la gravité</v>
      </c>
      <c r="AY2142" s="1" t="s">
        <v>48</v>
      </c>
    </row>
    <row r="2143" spans="1:97" ht="14.25" customHeight="1" x14ac:dyDescent="0.3">
      <c r="A2143" s="1" t="s">
        <v>2284</v>
      </c>
      <c r="B2143" s="1" t="str">
        <f ca="1">IFERROR(__xludf.DUMMYFUNCTION("GOOGLETRANSLATE(A2143, ""en"", ""fr"")"),"SUPER")</f>
        <v>SUPER</v>
      </c>
      <c r="H2143" s="1" t="s">
        <v>4964</v>
      </c>
    </row>
    <row r="2144" spans="1:97" ht="14.25" customHeight="1" x14ac:dyDescent="0.3">
      <c r="A2144" s="1" t="s">
        <v>2285</v>
      </c>
      <c r="B2144" s="1" t="str">
        <f ca="1">IFERROR(__xludf.DUMMYFUNCTION("GOOGLETRANSLATE(A2144, ""en"", ""fr"")"),"grande Dépression")</f>
        <v>grande Dépression</v>
      </c>
      <c r="M2144" s="1" t="s">
        <v>10</v>
      </c>
    </row>
    <row r="2145" spans="1:96" ht="14.25" customHeight="1" x14ac:dyDescent="0.3">
      <c r="A2145" s="1" t="s">
        <v>2286</v>
      </c>
      <c r="B2145" s="1" t="str">
        <f ca="1">IFERROR(__xludf.DUMMYFUNCTION("GOOGLETRANSLATE(A2145, ""en"", ""fr"")"),"PLUS GRAND")</f>
        <v>PLUS GRAND</v>
      </c>
      <c r="H2145" s="1" t="s">
        <v>4964</v>
      </c>
    </row>
    <row r="2146" spans="1:96" ht="14.25" customHeight="1" x14ac:dyDescent="0.3">
      <c r="A2146" s="1" t="s">
        <v>2287</v>
      </c>
      <c r="B2146" s="1" t="str">
        <f ca="1">IFERROR(__xludf.DUMMYFUNCTION("GOOGLETRANSLATE(A2146, ""en"", ""fr"")"),"Plus grand")</f>
        <v>Plus grand</v>
      </c>
      <c r="H2146" s="1" t="s">
        <v>4964</v>
      </c>
    </row>
    <row r="2147" spans="1:96" ht="14.25" customHeight="1" x14ac:dyDescent="0.3">
      <c r="A2147" s="1" t="s">
        <v>2288</v>
      </c>
      <c r="B2147" s="1" t="str">
        <f ca="1">IFERROR(__xludf.DUMMYFUNCTION("GOOGLETRANSLATE(A2147, ""en"", ""fr"")"),"TRÈS")</f>
        <v>TRÈS</v>
      </c>
      <c r="H2147" s="1" t="s">
        <v>4964</v>
      </c>
    </row>
    <row r="2148" spans="1:96" ht="14.25" customHeight="1" x14ac:dyDescent="0.3">
      <c r="A2148" s="1" t="s">
        <v>2289</v>
      </c>
      <c r="B2148" s="1" t="str">
        <f ca="1">IFERROR(__xludf.DUMMYFUNCTION("GOOGLETRANSLATE(A2148, ""en"", ""fr"")"),"GRANDEUR")</f>
        <v>GRANDEUR</v>
      </c>
      <c r="H2148" s="1" t="s">
        <v>4964</v>
      </c>
    </row>
    <row r="2149" spans="1:96" ht="14.25" customHeight="1" x14ac:dyDescent="0.3">
      <c r="A2149" s="1" t="s">
        <v>2290</v>
      </c>
      <c r="B2149" s="1" t="str">
        <f ca="1">IFERROR(__xludf.DUMMYFUNCTION("GOOGLETRANSLATE(A2149, ""en"", ""fr"")"),"signaux verts")</f>
        <v>signaux verts</v>
      </c>
      <c r="M2149" s="1" t="s">
        <v>10</v>
      </c>
    </row>
    <row r="2150" spans="1:96" ht="14.25" customHeight="1" x14ac:dyDescent="0.3">
      <c r="A2150" s="1" t="s">
        <v>2291</v>
      </c>
      <c r="B2150" s="1" t="str">
        <f ca="1">IFERROR(__xludf.DUMMYFUNCTION("GOOGLETRANSLATE(A2150, ""en"", ""fr"")"),"GRIEF")</f>
        <v>GRIEF</v>
      </c>
      <c r="D2150" s="1" t="s">
        <v>4963</v>
      </c>
    </row>
    <row r="2151" spans="1:96" ht="14.25" customHeight="1" x14ac:dyDescent="0.3">
      <c r="A2151" s="1" t="s">
        <v>2292</v>
      </c>
      <c r="B2151" s="1" t="str">
        <f ca="1">IFERROR(__xludf.DUMMYFUNCTION("GOOGLETRANSLATE(A2151, ""en"", ""fr"")"),"Griefs")</f>
        <v>Griefs</v>
      </c>
      <c r="D2151" s="1" t="s">
        <v>4963</v>
      </c>
    </row>
    <row r="2152" spans="1:96" ht="14.25" customHeight="1" x14ac:dyDescent="0.3">
      <c r="A2152" s="1" t="s">
        <v>2293</v>
      </c>
      <c r="B2152" s="1" t="str">
        <f ca="1">IFERROR(__xludf.DUMMYFUNCTION("GOOGLETRANSLATE(A2152, ""en"", ""fr"")"),"produit intérieur brut")</f>
        <v>produit intérieur brut</v>
      </c>
      <c r="M2152" s="1" t="s">
        <v>10</v>
      </c>
    </row>
    <row r="2153" spans="1:96" ht="14.25" customHeight="1" x14ac:dyDescent="0.3">
      <c r="A2153" s="1" t="s">
        <v>2294</v>
      </c>
      <c r="B2153" s="1" t="str">
        <f ca="1">IFERROR(__xludf.DUMMYFUNCTION("GOOGLETRANSLATE(A2153, ""en"", ""fr"")"),"marge brute")</f>
        <v>marge brute</v>
      </c>
      <c r="CR2153" s="1" t="s">
        <v>93</v>
      </c>
    </row>
    <row r="2154" spans="1:96" ht="14.25" customHeight="1" x14ac:dyDescent="0.3">
      <c r="A2154" s="1" t="s">
        <v>2295</v>
      </c>
      <c r="B2154" s="1" t="str">
        <f ca="1">IFERROR(__xludf.DUMMYFUNCTION("GOOGLETRANSLATE(A2154, ""en"", ""fr"")"),"dette nationale brute")</f>
        <v>dette nationale brute</v>
      </c>
      <c r="M2154" s="1" t="s">
        <v>10</v>
      </c>
    </row>
    <row r="2155" spans="1:96" ht="14.25" customHeight="1" x14ac:dyDescent="0.3">
      <c r="A2155" s="1" t="s">
        <v>2296</v>
      </c>
      <c r="B2155" s="1" t="str">
        <f ca="1">IFERROR(__xludf.DUMMYFUNCTION("GOOGLETRANSLATE(A2155, ""en"", ""fr"")"),"revenu national brut")</f>
        <v>revenu national brut</v>
      </c>
      <c r="M2155" s="1" t="s">
        <v>10</v>
      </c>
    </row>
    <row r="2156" spans="1:96" ht="14.25" customHeight="1" x14ac:dyDescent="0.3">
      <c r="A2156" s="1" t="s">
        <v>2297</v>
      </c>
      <c r="B2156" s="1" t="str">
        <f ca="1">IFERROR(__xludf.DUMMYFUNCTION("GOOGLETRANSLATE(A2156, ""en"", ""fr"")"),"Produit National brut")</f>
        <v>Produit National brut</v>
      </c>
      <c r="M2156" s="1" t="s">
        <v>10</v>
      </c>
    </row>
    <row r="2157" spans="1:96" ht="14.25" customHeight="1" x14ac:dyDescent="0.3">
      <c r="A2157" s="1" t="s">
        <v>2298</v>
      </c>
      <c r="B2157" s="1" t="str">
        <f ca="1">IFERROR(__xludf.DUMMYFUNCTION("GOOGLETRANSLATE(A2157, ""en"", ""fr"")"),"ventes brutes")</f>
        <v>ventes brutes</v>
      </c>
      <c r="CR2157" s="1" t="s">
        <v>93</v>
      </c>
    </row>
    <row r="2158" spans="1:96" ht="14.25" customHeight="1" x14ac:dyDescent="0.3">
      <c r="A2158" s="1" t="s">
        <v>2299</v>
      </c>
      <c r="B2158" s="1" t="str">
        <f ca="1">IFERROR(__xludf.DUMMYFUNCTION("GOOGLETRANSLATE(A2158, ""en"", ""fr"")"),"GROSSIÈREMENT")</f>
        <v>GROSSIÈREMENT</v>
      </c>
      <c r="D2158" s="1" t="s">
        <v>4963</v>
      </c>
    </row>
    <row r="2159" spans="1:96" ht="14.25" customHeight="1" x14ac:dyDescent="0.3">
      <c r="A2159" s="1" t="s">
        <v>2300</v>
      </c>
      <c r="B2159" s="1" t="str">
        <f ca="1">IFERROR(__xludf.DUMMYFUNCTION("GOOGLETRANSLATE(A2159, ""en"", ""fr"")"),"SANS FONDEMENT")</f>
        <v>SANS FONDEMENT</v>
      </c>
      <c r="D2159" s="1" t="s">
        <v>4963</v>
      </c>
    </row>
    <row r="2160" spans="1:96" ht="14.25" customHeight="1" x14ac:dyDescent="0.3">
      <c r="A2160" s="1" t="s">
        <v>2301</v>
      </c>
      <c r="B2160" s="1" t="str">
        <f ca="1">IFERROR(__xludf.DUMMYFUNCTION("GOOGLETRANSLATE(A2160, ""en"", ""fr"")"),"groupe de cinq euros")</f>
        <v>groupe de cinq euros</v>
      </c>
      <c r="M2160" s="1" t="s">
        <v>10</v>
      </c>
    </row>
    <row r="2161" spans="1:132" ht="14.25" customHeight="1" x14ac:dyDescent="0.3">
      <c r="A2161" s="1" t="s">
        <v>2302</v>
      </c>
      <c r="B2161" s="1" t="str">
        <f ca="1">IFERROR(__xludf.DUMMYFUNCTION("GOOGLETRANSLATE(A2161, ""en"", ""fr"")"),"groupe de vingt-quatre")</f>
        <v>groupe de vingt-quatre</v>
      </c>
      <c r="M2161" s="1" t="s">
        <v>10</v>
      </c>
    </row>
    <row r="2162" spans="1:132" ht="14.25" customHeight="1" x14ac:dyDescent="0.3">
      <c r="A2162" s="1" t="s">
        <v>2303</v>
      </c>
      <c r="B2162" s="1" t="str">
        <f ca="1">IFERROR(__xludf.DUMMYFUNCTION("GOOGLETRANSLATE(A2162, ""en"", ""fr"")"),"rotation de groupe")</f>
        <v>rotation de groupe</v>
      </c>
      <c r="M2162" s="1" t="s">
        <v>10</v>
      </c>
    </row>
    <row r="2163" spans="1:132" ht="14.25" customHeight="1" x14ac:dyDescent="0.3">
      <c r="A2163" s="1" t="s">
        <v>2304</v>
      </c>
      <c r="B2163" s="1" t="str">
        <f ca="1">IFERROR(__xludf.DUMMYFUNCTION("GOOGLETRANSLATE(A2163, ""en"", ""fr"")"),"récession de croissance")</f>
        <v>récession de croissance</v>
      </c>
      <c r="M2163" s="1" t="s">
        <v>10</v>
      </c>
    </row>
    <row r="2164" spans="1:132" ht="14.25" customHeight="1" x14ac:dyDescent="0.3">
      <c r="A2164" s="1" t="s">
        <v>2305</v>
      </c>
      <c r="B2164" s="1" t="str">
        <f ca="1">IFERROR(__xludf.DUMMYFUNCTION("GOOGLETRANSLATE(A2164, ""en"", ""fr"")"),"Gryphon")</f>
        <v>Gryphon</v>
      </c>
      <c r="R2164" s="1" t="s">
        <v>15</v>
      </c>
      <c r="CS2164" s="1" t="s">
        <v>94</v>
      </c>
    </row>
    <row r="2165" spans="1:132" ht="14.25" customHeight="1" x14ac:dyDescent="0.3">
      <c r="A2165" s="1" t="s">
        <v>2306</v>
      </c>
      <c r="B2165" s="1" t="str">
        <f ca="1">IFERROR(__xludf.DUMMYFUNCTION("GOOGLETRANSLATE(A2165, ""en"", ""fr"")"),"GS Caltex")</f>
        <v>GS Caltex</v>
      </c>
      <c r="BI2165" s="1" t="s">
        <v>58</v>
      </c>
      <c r="CD2165" s="1" t="s">
        <v>79</v>
      </c>
      <c r="DT2165" s="1" t="s">
        <v>121</v>
      </c>
    </row>
    <row r="2166" spans="1:132" ht="14.25" customHeight="1" x14ac:dyDescent="0.3">
      <c r="A2166" s="1" t="s">
        <v>2307</v>
      </c>
      <c r="B2166" s="1" t="str">
        <f ca="1">IFERROR(__xludf.DUMMYFUNCTION("GOOGLETRANSLATE(A2166, ""en"", ""fr"")"),"raffinerie de la succursale de Guangzhou")</f>
        <v>raffinerie de la succursale de Guangzhou</v>
      </c>
      <c r="X2166" s="1" t="s">
        <v>21</v>
      </c>
      <c r="AA2166" s="1" t="s">
        <v>24</v>
      </c>
      <c r="BF2166" s="1" t="s">
        <v>55</v>
      </c>
      <c r="DV2166" s="1" t="s">
        <v>123</v>
      </c>
      <c r="EB2166" s="1" t="s">
        <v>129</v>
      </c>
    </row>
    <row r="2167" spans="1:132" ht="14.25" customHeight="1" x14ac:dyDescent="0.3">
      <c r="A2167" s="1" t="s">
        <v>2308</v>
      </c>
      <c r="B2167" s="1" t="str">
        <f ca="1">IFERROR(__xludf.DUMMYFUNCTION("GOOGLETRANSLATE(A2167, ""en"", ""fr"")"),"COUPABLE")</f>
        <v>COUPABLE</v>
      </c>
      <c r="D2167" s="1" t="s">
        <v>4963</v>
      </c>
    </row>
    <row r="2168" spans="1:132" ht="14.25" customHeight="1" x14ac:dyDescent="0.3">
      <c r="A2168" s="1" t="s">
        <v>2309</v>
      </c>
      <c r="B2168" s="1" t="str">
        <f ca="1">IFERROR(__xludf.DUMMYFUNCTION("GOOGLETRANSLATE(A2168, ""en"", ""fr"")"),"glulfaks")</f>
        <v>glulfaks</v>
      </c>
      <c r="BB2168" s="1" t="s">
        <v>51</v>
      </c>
      <c r="DD2168" s="1" t="s">
        <v>105</v>
      </c>
    </row>
    <row r="2169" spans="1:132" ht="14.25" customHeight="1" x14ac:dyDescent="0.3">
      <c r="A2169" s="1" t="s">
        <v>2310</v>
      </c>
      <c r="B2169" s="1" t="str">
        <f ca="1">IFERROR(__xludf.DUMMYFUNCTION("GOOGLETRANSLATE(A2169, ""en"", ""fr"")"),"Mélange de gullfaks")</f>
        <v>Mélange de gullfaks</v>
      </c>
      <c r="R2169" s="1" t="s">
        <v>15</v>
      </c>
      <c r="CS2169" s="1" t="s">
        <v>94</v>
      </c>
    </row>
    <row r="2170" spans="1:132" ht="14.25" customHeight="1" x14ac:dyDescent="0.3">
      <c r="A2170" s="1" t="s">
        <v>2311</v>
      </c>
      <c r="B2170" s="1" t="str">
        <f ca="1">IFERROR(__xludf.DUMMYFUNCTION("GOOGLETRANSLATE(A2170, ""en"", ""fr"")"),"H? CTOR R LARA SOSA")</f>
        <v>H? CTOR R LARA SOSA</v>
      </c>
      <c r="AD2170" s="1" t="s">
        <v>27</v>
      </c>
      <c r="BF2170" s="1" t="s">
        <v>55</v>
      </c>
      <c r="DE2170" s="1" t="s">
        <v>106</v>
      </c>
      <c r="EB2170" s="1" t="s">
        <v>129</v>
      </c>
    </row>
    <row r="2171" spans="1:132" ht="14.25" customHeight="1" x14ac:dyDescent="0.3">
      <c r="A2171" s="1" t="s">
        <v>2312</v>
      </c>
      <c r="B2171" s="1" t="str">
        <f ca="1">IFERROR(__xludf.DUMMYFUNCTION("GOOGLETRANSLATE(A2171, ""en"", ""fr"")"),"avait")</f>
        <v>avait</v>
      </c>
      <c r="J2171" s="1" t="s">
        <v>7</v>
      </c>
    </row>
    <row r="2172" spans="1:132" ht="14.25" customHeight="1" x14ac:dyDescent="0.3">
      <c r="A2172" s="1" t="s">
        <v>2313</v>
      </c>
      <c r="B2172" s="1" t="str">
        <f ca="1">IFERROR(__xludf.DUMMYFUNCTION("GOOGLETRANSLATE(A2172, ""en"", ""fr"")"),"halkaya")</f>
        <v>halkaya</v>
      </c>
      <c r="AU2172" s="1" t="s">
        <v>44</v>
      </c>
      <c r="BE2172" s="1" t="s">
        <v>54</v>
      </c>
      <c r="BS2172" s="1" t="s">
        <v>68</v>
      </c>
      <c r="DD2172" s="1" t="s">
        <v>105</v>
      </c>
    </row>
    <row r="2173" spans="1:132" ht="14.25" customHeight="1" x14ac:dyDescent="0.3">
      <c r="A2173" s="1" t="s">
        <v>2314</v>
      </c>
      <c r="B2173" s="1" t="str">
        <f ca="1">IFERROR(__xludf.DUMMYFUNCTION("GOOGLETRANSLATE(A2173, ""en"", ""fr"")"),"flétan")</f>
        <v>flétan</v>
      </c>
      <c r="AF2173" s="1" t="s">
        <v>29</v>
      </c>
      <c r="AI2173" s="1" t="s">
        <v>32</v>
      </c>
      <c r="DD2173" s="1" t="s">
        <v>105</v>
      </c>
    </row>
    <row r="2174" spans="1:132" ht="14.25" customHeight="1" x14ac:dyDescent="0.3">
      <c r="A2174" s="1" t="s">
        <v>2315</v>
      </c>
      <c r="B2174" s="1" t="str">
        <f ca="1">IFERROR(__xludf.DUMMYFUNCTION("GOOGLETRANSLATE(A2174, ""en"", ""fr"")"),"ARRÊT")</f>
        <v>ARRÊT</v>
      </c>
      <c r="D2174" s="1" t="s">
        <v>4963</v>
      </c>
    </row>
    <row r="2175" spans="1:132" ht="14.25" customHeight="1" x14ac:dyDescent="0.3">
      <c r="A2175" s="1" t="s">
        <v>2316</v>
      </c>
      <c r="B2175" s="1" t="str">
        <f ca="1">IFERROR(__xludf.DUMMYFUNCTION("GOOGLETRANSLATE(A2175, ""en"", ""fr"")"),"Interrompu")</f>
        <v>Interrompu</v>
      </c>
      <c r="D2175" s="1" t="s">
        <v>4963</v>
      </c>
    </row>
    <row r="2176" spans="1:132" ht="14.25" customHeight="1" x14ac:dyDescent="0.3">
      <c r="A2176" s="1" t="s">
        <v>2317</v>
      </c>
      <c r="B2176" s="1" t="str">
        <f ca="1">IFERROR(__xludf.DUMMYFUNCTION("GOOGLETRANSLATE(A2176, ""en"", ""fr"")"),"ENTRAVER")</f>
        <v>ENTRAVER</v>
      </c>
      <c r="D2176" s="1" t="s">
        <v>4963</v>
      </c>
    </row>
    <row r="2177" spans="1:97" ht="14.25" customHeight="1" x14ac:dyDescent="0.3">
      <c r="A2177" s="1" t="s">
        <v>2318</v>
      </c>
      <c r="B2177" s="1" t="str">
        <f ca="1">IFERROR(__xludf.DUMMYFUNCTION("GOOGLETRANSLATE(A2177, ""en"", ""fr"")"),"Entravé")</f>
        <v>Entravé</v>
      </c>
      <c r="D2177" s="1" t="s">
        <v>4963</v>
      </c>
    </row>
    <row r="2178" spans="1:97" ht="14.25" customHeight="1" x14ac:dyDescent="0.3">
      <c r="A2178" s="1" t="s">
        <v>2319</v>
      </c>
      <c r="B2178" s="1" t="str">
        <f ca="1">IFERROR(__xludf.DUMMYFUNCTION("GOOGLETRANSLATE(A2178, ""en"", ""fr"")"),"Entrave")</f>
        <v>Entrave</v>
      </c>
      <c r="D2178" s="1" t="s">
        <v>4963</v>
      </c>
    </row>
    <row r="2179" spans="1:97" ht="14.25" customHeight="1" x14ac:dyDescent="0.3">
      <c r="A2179" s="1" t="s">
        <v>2320</v>
      </c>
      <c r="B2179" s="1" t="str">
        <f ca="1">IFERROR(__xludf.DUMMYFUNCTION("GOOGLETRANSLATE(A2179, ""en"", ""fr"")"),"Entrave")</f>
        <v>Entrave</v>
      </c>
      <c r="D2179" s="1" t="s">
        <v>4963</v>
      </c>
    </row>
    <row r="2180" spans="1:97" ht="14.25" customHeight="1" x14ac:dyDescent="0.3">
      <c r="A2180" s="1" t="s">
        <v>2321</v>
      </c>
      <c r="B2180" s="1" t="str">
        <f ca="1">IFERROR(__xludf.DUMMYFUNCTION("GOOGLETRANSLATE(A2180, ""en"", ""fr"")"),"Mixage à main")</f>
        <v>Mixage à main</v>
      </c>
      <c r="R2180" s="1" t="s">
        <v>15</v>
      </c>
      <c r="CS2180" s="1" t="s">
        <v>94</v>
      </c>
    </row>
    <row r="2181" spans="1:97" ht="14.25" customHeight="1" x14ac:dyDescent="0.3">
      <c r="A2181" s="1" t="s">
        <v>2322</v>
      </c>
      <c r="B2181" s="1" t="str">
        <f ca="1">IFERROR(__xludf.DUMMYFUNCTION("GOOGLETRANSLATE(A2181, ""en"", ""fr"")"),"Cintre")</f>
        <v>Cintre</v>
      </c>
      <c r="E2181" s="1" t="s">
        <v>3</v>
      </c>
    </row>
    <row r="2182" spans="1:97" ht="14.25" customHeight="1" x14ac:dyDescent="0.3">
      <c r="A2182" s="1" t="s">
        <v>2323</v>
      </c>
      <c r="B2182" s="1" t="str">
        <f ca="1">IFERROR(__xludf.DUMMYFUNCTION("GOOGLETRANSLATE(A2182, ""en"", ""fr"")"),"Se gêner")</f>
        <v>Se gêner</v>
      </c>
      <c r="R2182" s="1" t="s">
        <v>15</v>
      </c>
      <c r="CS2182" s="1" t="s">
        <v>94</v>
      </c>
    </row>
    <row r="2183" spans="1:97" ht="14.25" customHeight="1" x14ac:dyDescent="0.3">
      <c r="A2183" s="1" t="s">
        <v>2324</v>
      </c>
      <c r="B2183" s="1" t="str">
        <f ca="1">IFERROR(__xludf.DUMMYFUNCTION("GOOGLETRANSLATE(A2183, ""en"", ""fr"")"),"Le plus heureux")</f>
        <v>Le plus heureux</v>
      </c>
      <c r="H2183" s="1" t="s">
        <v>4964</v>
      </c>
    </row>
    <row r="2184" spans="1:97" ht="14.25" customHeight="1" x14ac:dyDescent="0.3">
      <c r="A2184" s="1" t="s">
        <v>2325</v>
      </c>
      <c r="B2184" s="1" t="str">
        <f ca="1">IFERROR(__xludf.DUMMYFUNCTION("GOOGLETRANSLATE(A2184, ""en"", ""fr"")"),"HEUREUSEMENT")</f>
        <v>HEUREUSEMENT</v>
      </c>
      <c r="H2184" s="1" t="s">
        <v>4964</v>
      </c>
    </row>
    <row r="2185" spans="1:97" ht="14.25" customHeight="1" x14ac:dyDescent="0.3">
      <c r="A2185" s="1" t="s">
        <v>2326</v>
      </c>
      <c r="B2185" s="1" t="str">
        <f ca="1">IFERROR(__xludf.DUMMYFUNCTION("GOOGLETRANSLATE(A2185, ""en"", ""fr"")"),"BONHEUR")</f>
        <v>BONHEUR</v>
      </c>
      <c r="H2185" s="1" t="s">
        <v>4964</v>
      </c>
    </row>
    <row r="2186" spans="1:97" ht="14.25" customHeight="1" x14ac:dyDescent="0.3">
      <c r="A2186" s="1" t="s">
        <v>2327</v>
      </c>
      <c r="B2186" s="1" t="str">
        <f ca="1">IFERROR(__xludf.DUMMYFUNCTION("GOOGLETRANSLATE(A2186, ""en"", ""fr"")"),"HEUREUX")</f>
        <v>HEUREUX</v>
      </c>
      <c r="H2186" s="1" t="s">
        <v>4964</v>
      </c>
    </row>
    <row r="2187" spans="1:97" ht="14.25" customHeight="1" x14ac:dyDescent="0.3">
      <c r="A2187" s="1" t="s">
        <v>2328</v>
      </c>
      <c r="B2187" s="1" t="str">
        <f ca="1">IFERROR(__xludf.DUMMYFUNCTION("GOOGLETRANSLATE(A2187, ""en"", ""fr"")"),"HARCELER")</f>
        <v>HARCELER</v>
      </c>
      <c r="D2187" s="1" t="s">
        <v>4963</v>
      </c>
    </row>
    <row r="2188" spans="1:97" ht="14.25" customHeight="1" x14ac:dyDescent="0.3">
      <c r="A2188" s="1" t="s">
        <v>2329</v>
      </c>
      <c r="B2188" s="1" t="str">
        <f ca="1">IFERROR(__xludf.DUMMYFUNCTION("GOOGLETRANSLATE(A2188, ""en"", ""fr"")"),"Harcelé")</f>
        <v>Harcelé</v>
      </c>
      <c r="D2188" s="1" t="s">
        <v>4963</v>
      </c>
    </row>
    <row r="2189" spans="1:97" ht="14.25" customHeight="1" x14ac:dyDescent="0.3">
      <c r="A2189" s="1" t="s">
        <v>2330</v>
      </c>
      <c r="B2189" s="1" t="str">
        <f ca="1">IFERROR(__xludf.DUMMYFUNCTION("GOOGLETRANSLATE(A2189, ""en"", ""fr"")"),"HARCÈLEMENT")</f>
        <v>HARCÈLEMENT</v>
      </c>
      <c r="D2189" s="1" t="s">
        <v>4963</v>
      </c>
    </row>
    <row r="2190" spans="1:97" ht="14.25" customHeight="1" x14ac:dyDescent="0.3">
      <c r="A2190" s="1" t="s">
        <v>2331</v>
      </c>
      <c r="B2190" s="1" t="str">
        <f ca="1">IFERROR(__xludf.DUMMYFUNCTION("GOOGLETRANSLATE(A2190, ""en"", ""fr"")"),"HARCÈLEMENT")</f>
        <v>HARCÈLEMENT</v>
      </c>
      <c r="D2190" s="1" t="s">
        <v>4963</v>
      </c>
    </row>
    <row r="2191" spans="1:97" ht="14.25" customHeight="1" x14ac:dyDescent="0.3">
      <c r="A2191" s="1" t="s">
        <v>2332</v>
      </c>
      <c r="B2191" s="1" t="str">
        <f ca="1">IFERROR(__xludf.DUMMYFUNCTION("GOOGLETRANSLATE(A2191, ""en"", ""fr"")"),"marchandise")</f>
        <v>marchandise</v>
      </c>
      <c r="G2191" s="1" t="s">
        <v>5</v>
      </c>
      <c r="M2191" s="1" t="s">
        <v>10</v>
      </c>
    </row>
    <row r="2192" spans="1:97" ht="14.25" customHeight="1" x14ac:dyDescent="0.3">
      <c r="A2192" s="1" t="s">
        <v>2333</v>
      </c>
      <c r="B2192" s="1" t="str">
        <f ca="1">IFERROR(__xludf.DUMMYFUNCTION("GOOGLETRANSLATE(A2192, ""en"", ""fr"")"),"monnaie dure")</f>
        <v>monnaie dure</v>
      </c>
      <c r="CR2192" s="1" t="s">
        <v>93</v>
      </c>
    </row>
    <row r="2193" spans="1:97" ht="14.25" customHeight="1" x14ac:dyDescent="0.3">
      <c r="A2193" s="1" t="s">
        <v>2334</v>
      </c>
      <c r="B2193" s="1" t="str">
        <f ca="1">IFERROR(__xludf.DUMMYFUNCTION("GOOGLETRANSLATE(A2193, ""en"", ""fr"")"),"atterrissage difficile")</f>
        <v>atterrissage difficile</v>
      </c>
      <c r="M2193" s="1" t="s">
        <v>10</v>
      </c>
    </row>
    <row r="2194" spans="1:97" ht="14.25" customHeight="1" x14ac:dyDescent="0.3">
      <c r="A2194" s="1" t="s">
        <v>2335</v>
      </c>
      <c r="B2194" s="1" t="str">
        <f ca="1">IFERROR(__xludf.DUMMYFUNCTION("GOOGLETRANSLATE(A2194, ""en"", ""fr"")"),"Dure")</f>
        <v>Dure</v>
      </c>
      <c r="R2194" s="1" t="s">
        <v>15</v>
      </c>
      <c r="CS2194" s="1" t="s">
        <v>94</v>
      </c>
    </row>
    <row r="2195" spans="1:97" ht="14.25" customHeight="1" x14ac:dyDescent="0.3">
      <c r="A2195" s="1" t="s">
        <v>2336</v>
      </c>
      <c r="B2195" s="1" t="str">
        <f ca="1">IFERROR(__xludf.DUMMYFUNCTION("GOOGLETRANSLATE(A2195, ""en"", ""fr"")"),"ÉPREUVES")</f>
        <v>ÉPREUVES</v>
      </c>
      <c r="D2195" s="1" t="s">
        <v>4963</v>
      </c>
    </row>
    <row r="2196" spans="1:97" ht="14.25" customHeight="1" x14ac:dyDescent="0.3">
      <c r="A2196" s="1" t="s">
        <v>2337</v>
      </c>
      <c r="B2196" s="1" t="str">
        <f ca="1">IFERROR(__xludf.DUMMYFUNCTION("GOOGLETRANSLATE(A2196, ""en"", ""fr"")"),"Épreuves")</f>
        <v>Épreuves</v>
      </c>
      <c r="D2196" s="1" t="s">
        <v>4963</v>
      </c>
    </row>
    <row r="2197" spans="1:97" ht="14.25" customHeight="1" x14ac:dyDescent="0.3">
      <c r="A2197" s="1" t="s">
        <v>2338</v>
      </c>
      <c r="B2197" s="1" t="str">
        <f ca="1">IFERROR(__xludf.DUMMYFUNCTION("GOOGLETRANSLATE(A2197, ""en"", ""fr"")"),"NUIRE")</f>
        <v>NUIRE</v>
      </c>
      <c r="D2197" s="1" t="s">
        <v>4963</v>
      </c>
    </row>
    <row r="2198" spans="1:97" ht="14.25" customHeight="1" x14ac:dyDescent="0.3">
      <c r="A2198" s="1" t="s">
        <v>2339</v>
      </c>
      <c r="B2198" s="1" t="str">
        <f ca="1">IFERROR(__xludf.DUMMYFUNCTION("GOOGLETRANSLATE(A2198, ""en"", ""fr"")"),"Blessé")</f>
        <v>Blessé</v>
      </c>
      <c r="D2198" s="1" t="s">
        <v>4963</v>
      </c>
    </row>
    <row r="2199" spans="1:97" ht="14.25" customHeight="1" x14ac:dyDescent="0.3">
      <c r="A2199" s="1" t="s">
        <v>2340</v>
      </c>
      <c r="B2199" s="1" t="str">
        <f ca="1">IFERROR(__xludf.DUMMYFUNCTION("GOOGLETRANSLATE(A2199, ""en"", ""fr"")"),"NOCIF")</f>
        <v>NOCIF</v>
      </c>
      <c r="D2199" s="1" t="s">
        <v>4963</v>
      </c>
    </row>
    <row r="2200" spans="1:97" ht="14.25" customHeight="1" x14ac:dyDescent="0.3">
      <c r="A2200" s="1" t="s">
        <v>2341</v>
      </c>
      <c r="B2200" s="1" t="str">
        <f ca="1">IFERROR(__xludf.DUMMYFUNCTION("GOOGLETRANSLATE(A2200, ""en"", ""fr"")"),"Nuisible")</f>
        <v>Nuisible</v>
      </c>
      <c r="D2200" s="1" t="s">
        <v>4963</v>
      </c>
    </row>
    <row r="2201" spans="1:97" ht="14.25" customHeight="1" x14ac:dyDescent="0.3">
      <c r="A2201" s="1" t="s">
        <v>2342</v>
      </c>
      <c r="B2201" s="1" t="str">
        <f ca="1">IFERROR(__xludf.DUMMYFUNCTION("GOOGLETRANSLATE(A2201, ""en"", ""fr"")"),"NUIRE")</f>
        <v>NUIRE</v>
      </c>
      <c r="D2201" s="1" t="s">
        <v>4963</v>
      </c>
    </row>
    <row r="2202" spans="1:97" ht="14.25" customHeight="1" x14ac:dyDescent="0.3">
      <c r="A2202" s="1" t="s">
        <v>2343</v>
      </c>
      <c r="B2202" s="1" t="str">
        <f ca="1">IFERROR(__xludf.DUMMYFUNCTION("GOOGLETRANSLATE(A2202, ""en"", ""fr"")"),"Dommage")</f>
        <v>Dommage</v>
      </c>
      <c r="D2202" s="1" t="s">
        <v>4963</v>
      </c>
    </row>
    <row r="2203" spans="1:97" ht="14.25" customHeight="1" x14ac:dyDescent="0.3">
      <c r="A2203" s="1" t="s">
        <v>2344</v>
      </c>
      <c r="B2203" s="1" t="str">
        <f ca="1">IFERROR(__xludf.DUMMYFUNCTION("GOOGLETRANSLATE(A2203, ""en"", ""fr"")"),"RUDE")</f>
        <v>RUDE</v>
      </c>
      <c r="D2203" s="1" t="s">
        <v>4963</v>
      </c>
    </row>
    <row r="2204" spans="1:97" ht="14.25" customHeight="1" x14ac:dyDescent="0.3">
      <c r="A2204" s="1" t="s">
        <v>2345</v>
      </c>
      <c r="B2204" s="1" t="str">
        <f ca="1">IFERROR(__xludf.DUMMYFUNCTION("GOOGLETRANSLATE(A2204, ""en"", ""fr"")"),"Plus dur")</f>
        <v>Plus dur</v>
      </c>
      <c r="D2204" s="1" t="s">
        <v>4963</v>
      </c>
    </row>
    <row r="2205" spans="1:97" ht="14.25" customHeight="1" x14ac:dyDescent="0.3">
      <c r="A2205" s="1" t="s">
        <v>2346</v>
      </c>
      <c r="B2205" s="1" t="str">
        <f ca="1">IFERROR(__xludf.DUMMYFUNCTION("GOOGLETRANSLATE(A2205, ""en"", ""fr"")"),"Le plus dur")</f>
        <v>Le plus dur</v>
      </c>
      <c r="D2205" s="1" t="s">
        <v>4963</v>
      </c>
    </row>
    <row r="2206" spans="1:97" ht="14.25" customHeight="1" x14ac:dyDescent="0.3">
      <c r="A2206" s="1" t="s">
        <v>2347</v>
      </c>
      <c r="B2206" s="1" t="str">
        <f ca="1">IFERROR(__xludf.DUMMYFUNCTION("GOOGLETRANSLATE(A2206, ""en"", ""fr"")"),"DUREMENT")</f>
        <v>DUREMENT</v>
      </c>
      <c r="D2206" s="1" t="s">
        <v>4963</v>
      </c>
    </row>
    <row r="2207" spans="1:97" ht="14.25" customHeight="1" x14ac:dyDescent="0.3">
      <c r="A2207" s="1" t="s">
        <v>2348</v>
      </c>
      <c r="B2207" s="1" t="str">
        <f ca="1">IFERROR(__xludf.DUMMYFUNCTION("GOOGLETRANSLATE(A2207, ""en"", ""fr"")"),"DURETÉ")</f>
        <v>DURETÉ</v>
      </c>
      <c r="D2207" s="1" t="s">
        <v>4963</v>
      </c>
    </row>
    <row r="2208" spans="1:97" ht="14.25" customHeight="1" x14ac:dyDescent="0.3">
      <c r="A2208" s="1" t="s">
        <v>2349</v>
      </c>
      <c r="B2208" s="1" t="str">
        <f ca="1">IFERROR(__xludf.DUMMYFUNCTION("GOOGLETRANSLATE(A2208, ""en"", ""fr"")"),"a")</f>
        <v>a</v>
      </c>
      <c r="J2208" s="1" t="s">
        <v>7</v>
      </c>
    </row>
    <row r="2209" spans="1:145" ht="14.25" customHeight="1" x14ac:dyDescent="0.3">
      <c r="A2209" s="1" t="s">
        <v>2350</v>
      </c>
      <c r="B2209" s="1" t="str">
        <f ca="1">IFERROR(__xludf.DUMMYFUNCTION("GOOGLETRANSLATE(A2209, ""en"", ""fr"")"),"Hassi Messaoud")</f>
        <v>Hassi Messaoud</v>
      </c>
      <c r="AU2209" s="1" t="s">
        <v>44</v>
      </c>
      <c r="BX2209" s="1" t="s">
        <v>73</v>
      </c>
      <c r="DD2209" s="1" t="s">
        <v>105</v>
      </c>
      <c r="EO2209" s="1" t="s">
        <v>142</v>
      </c>
    </row>
    <row r="2210" spans="1:145" ht="14.25" customHeight="1" x14ac:dyDescent="0.3">
      <c r="A2210" s="1" t="s">
        <v>2351</v>
      </c>
      <c r="B2210" s="1" t="str">
        <f ca="1">IFERROR(__xludf.DUMMYFUNCTION("GOOGLETRANSLATE(A2210, ""en"", ""fr"")"),"avoir")</f>
        <v>avoir</v>
      </c>
      <c r="J2210" s="1" t="s">
        <v>7</v>
      </c>
    </row>
    <row r="2211" spans="1:145" ht="14.25" customHeight="1" x14ac:dyDescent="0.3">
      <c r="A2211" s="1" t="s">
        <v>2352</v>
      </c>
      <c r="B2211" s="1" t="str">
        <f ca="1">IFERROR(__xludf.DUMMYFUNCTION("GOOGLETRANSLATE(A2211, ""en"", ""fr"")"),"beurre")</f>
        <v>beurre</v>
      </c>
      <c r="M2211" s="1" t="s">
        <v>10</v>
      </c>
    </row>
    <row r="2212" spans="1:145" ht="14.25" customHeight="1" x14ac:dyDescent="0.3">
      <c r="A2212" s="1" t="s">
        <v>2353</v>
      </c>
      <c r="B2212" s="1" t="str">
        <f ca="1">IFERROR(__xludf.DUMMYFUNCTION("GOOGLETRANSLATE(A2212, ""en"", ""fr"")"),"DANGER")</f>
        <v>DANGER</v>
      </c>
      <c r="D2212" s="1" t="s">
        <v>4963</v>
      </c>
    </row>
    <row r="2213" spans="1:145" ht="14.25" customHeight="1" x14ac:dyDescent="0.3">
      <c r="A2213" s="1" t="s">
        <v>2354</v>
      </c>
      <c r="B2213" s="1" t="str">
        <f ca="1">IFERROR(__xludf.DUMMYFUNCTION("GOOGLETRANSLATE(A2213, ""en"", ""fr"")"),"DANGEREUX")</f>
        <v>DANGEREUX</v>
      </c>
      <c r="D2213" s="1" t="s">
        <v>4963</v>
      </c>
    </row>
    <row r="2214" spans="1:145" ht="14.25" customHeight="1" x14ac:dyDescent="0.3">
      <c r="A2214" s="1" t="s">
        <v>2355</v>
      </c>
      <c r="B2214" s="1" t="str">
        <f ca="1">IFERROR(__xludf.DUMMYFUNCTION("GOOGLETRANSLATE(A2214, ""en"", ""fr"")"),"DANGERS")</f>
        <v>DANGERS</v>
      </c>
      <c r="D2214" s="1" t="s">
        <v>4963</v>
      </c>
    </row>
    <row r="2215" spans="1:145" ht="14.25" customHeight="1" x14ac:dyDescent="0.3">
      <c r="A2215" s="1" t="s">
        <v>2356</v>
      </c>
      <c r="B2215" s="1" t="str">
        <f ca="1">IFERROR(__xludf.DUMMYFUNCTION("GOOGLETRANSLATE(A2215, ""en"", ""fr"")"),"il")</f>
        <v>il</v>
      </c>
      <c r="J2215" s="1" t="s">
        <v>7</v>
      </c>
    </row>
    <row r="2216" spans="1:145" ht="14.25" customHeight="1" x14ac:dyDescent="0.3">
      <c r="A2216" s="1" t="s">
        <v>2357</v>
      </c>
      <c r="B2216" s="1" t="str">
        <f ca="1">IFERROR(__xludf.DUMMYFUNCTION("GOOGLETRANSLATE(A2216, ""en"", ""fr"")"),"Inflation en phase")</f>
        <v>Inflation en phase</v>
      </c>
      <c r="M2216" s="1" t="s">
        <v>10</v>
      </c>
    </row>
    <row r="2217" spans="1:145" ht="14.25" customHeight="1" x14ac:dyDescent="0.3">
      <c r="A2217" s="1" t="s">
        <v>2358</v>
      </c>
      <c r="B2217" s="1" t="str">
        <f ca="1">IFERROR(__xludf.DUMMYFUNCTION("GOOGLETRANSLATE(A2217, ""en"", ""fr"")"),"risque de titre")</f>
        <v>risque de titre</v>
      </c>
      <c r="M2217" s="1" t="s">
        <v>10</v>
      </c>
      <c r="EF2217" s="1" t="s">
        <v>133</v>
      </c>
    </row>
    <row r="2218" spans="1:145" ht="14.25" customHeight="1" x14ac:dyDescent="0.3">
      <c r="A2218" s="1" t="s">
        <v>2359</v>
      </c>
      <c r="B2218" s="1" t="str">
        <f ca="1">IFERROR(__xludf.DUMMYFUNCTION("GOOGLETRANSLATE(A2218, ""en"", ""fr"")"),"l'économie de la santé")</f>
        <v>l'économie de la santé</v>
      </c>
      <c r="M2218" s="1" t="s">
        <v>10</v>
      </c>
    </row>
    <row r="2219" spans="1:145" ht="14.25" customHeight="1" x14ac:dyDescent="0.3">
      <c r="A2219" s="1" t="s">
        <v>2360</v>
      </c>
      <c r="B2219" s="1" t="str">
        <f ca="1">IFERROR(__xludf.DUMMYFUNCTION("GOOGLETRANSLATE(A2219, ""en"", ""fr"")"),"Chauffeur")</f>
        <v>Chauffeur</v>
      </c>
      <c r="E2219" s="1" t="s">
        <v>3</v>
      </c>
    </row>
    <row r="2220" spans="1:145" ht="14.25" customHeight="1" x14ac:dyDescent="0.3">
      <c r="A2220" s="1" t="s">
        <v>2361</v>
      </c>
      <c r="B2220" s="1" t="str">
        <f ca="1">IFERROR(__xludf.DUMMYFUNCTION("GOOGLETRANSLATE(A2220, ""en"", ""fr"")"),"Pétrole brut lourd")</f>
        <v>Pétrole brut lourd</v>
      </c>
      <c r="EL2220" s="1" t="s">
        <v>139</v>
      </c>
    </row>
    <row r="2221" spans="1:145" ht="14.25" customHeight="1" x14ac:dyDescent="0.3">
      <c r="A2221" s="1" t="s">
        <v>2362</v>
      </c>
      <c r="B2221" s="1" t="str">
        <f ca="1">IFERROR(__xludf.DUMMYFUNCTION("GOOGLETRANSLATE(A2221, ""en"", ""fr"")"),"Lourd")</f>
        <v>Lourd</v>
      </c>
      <c r="R2221" s="1" t="s">
        <v>15</v>
      </c>
      <c r="CS2221" s="1" t="s">
        <v>94</v>
      </c>
    </row>
    <row r="2222" spans="1:145" ht="14.25" customHeight="1" x14ac:dyDescent="0.3">
      <c r="A2222" s="1" t="s">
        <v>2363</v>
      </c>
      <c r="B2222" s="1" t="str">
        <f ca="1">IFERROR(__xludf.DUMMYFUNCTION("GOOGLETRANSLATE(A2222, ""en"", ""fr"")"),"Louisiane lourde douce")</f>
        <v>Louisiane lourde douce</v>
      </c>
      <c r="R2222" s="1" t="s">
        <v>15</v>
      </c>
      <c r="CS2222" s="1" t="s">
        <v>94</v>
      </c>
    </row>
    <row r="2223" spans="1:145" ht="14.25" customHeight="1" x14ac:dyDescent="0.3">
      <c r="A2223" s="1" t="s">
        <v>2364</v>
      </c>
      <c r="B2223" s="1" t="str">
        <f ca="1">IFERROR(__xludf.DUMMYFUNCTION("GOOGLETRANSLATE(A2223, ""en"", ""fr"")"),"pétrole lourd")</f>
        <v>pétrole lourd</v>
      </c>
      <c r="R2223" s="1" t="s">
        <v>15</v>
      </c>
    </row>
    <row r="2224" spans="1:145" ht="14.25" customHeight="1" x14ac:dyDescent="0.3">
      <c r="A2224" s="1" t="s">
        <v>2365</v>
      </c>
      <c r="B2224" s="1" t="str">
        <f ca="1">IFERROR(__xludf.DUMMYFUNCTION("GOOGLETRANSLATE(A2224, ""en"", ""fr"")"),"Oil lourd et production de bitume brut")</f>
        <v>Oil lourd et production de bitume brut</v>
      </c>
      <c r="E2224" s="1" t="s">
        <v>3</v>
      </c>
    </row>
    <row r="2225" spans="1:142" ht="14.25" customHeight="1" x14ac:dyDescent="0.3">
      <c r="A2225" s="1" t="s">
        <v>2366</v>
      </c>
      <c r="B2225" s="1" t="str">
        <f ca="1">IFERROR(__xludf.DUMMYFUNCTION("GOOGLETRANSLATE(A2225, ""en"", ""fr"")"),"comptabilité de couverture")</f>
        <v>comptabilité de couverture</v>
      </c>
      <c r="CR2225" s="1" t="s">
        <v>93</v>
      </c>
      <c r="EF2225" s="1" t="s">
        <v>133</v>
      </c>
    </row>
    <row r="2226" spans="1:142" ht="14.25" customHeight="1" x14ac:dyDescent="0.3">
      <c r="A2226" s="1" t="s">
        <v>2367</v>
      </c>
      <c r="B2226" s="1" t="str">
        <f ca="1">IFERROR(__xludf.DUMMYFUNCTION("GOOGLETRANSLATE(A2226, ""en"", ""fr"")"),"fonds de couverture")</f>
        <v>fonds de couverture</v>
      </c>
      <c r="CR2226" s="1" t="s">
        <v>93</v>
      </c>
      <c r="EF2226" s="1" t="s">
        <v>133</v>
      </c>
    </row>
    <row r="2227" spans="1:142" ht="14.25" customHeight="1" x14ac:dyDescent="0.3">
      <c r="A2227" s="1" t="s">
        <v>2368</v>
      </c>
      <c r="B2227" s="1" t="str">
        <f ca="1">IFERROR(__xludf.DUMMYFUNCTION("GOOGLETRANSLATE(A2227, ""en"", ""fr"")"),"ratio de couverture")</f>
        <v>ratio de couverture</v>
      </c>
      <c r="CR2227" s="1" t="s">
        <v>93</v>
      </c>
      <c r="EF2227" s="1" t="s">
        <v>133</v>
      </c>
    </row>
    <row r="2228" spans="1:142" ht="14.25" customHeight="1" x14ac:dyDescent="0.3">
      <c r="A2228" s="1" t="s">
        <v>2369</v>
      </c>
      <c r="B2228" s="1" t="str">
        <f ca="1">IFERROR(__xludf.DUMMYFUNCTION("GOOGLETRANSLATE(A2228, ""en"", ""fr"")"),"haiett")</f>
        <v>haiett</v>
      </c>
      <c r="M2228" s="1" t="s">
        <v>10</v>
      </c>
    </row>
    <row r="2229" spans="1:142" ht="14.25" customHeight="1" x14ac:dyDescent="0.3">
      <c r="A2229" s="1" t="s">
        <v>2370</v>
      </c>
      <c r="B2229" s="1" t="str">
        <f ca="1">IFERROR(__xludf.DUMMYFUNCTION("GOOGLETRANSLATE(A2229, ""en"", ""fr"")"),"contrat de couverture")</f>
        <v>contrat de couverture</v>
      </c>
      <c r="CR2229" s="1" t="s">
        <v>93</v>
      </c>
      <c r="EF2229" s="1" t="s">
        <v>133</v>
      </c>
    </row>
    <row r="2230" spans="1:142" ht="14.25" customHeight="1" x14ac:dyDescent="0.3">
      <c r="A2230" s="1" t="s">
        <v>2371</v>
      </c>
      <c r="B2230" s="1" t="str">
        <f ca="1">IFERROR(__xludf.DUMMYFUNCTION("GOOGLETRANSLATE(A2230, ""en"", ""fr"")"),"Heidrun")</f>
        <v>Heidrun</v>
      </c>
      <c r="R2230" s="1" t="s">
        <v>15</v>
      </c>
      <c r="CS2230" s="1" t="s">
        <v>94</v>
      </c>
    </row>
    <row r="2231" spans="1:142" ht="14.25" customHeight="1" x14ac:dyDescent="0.3">
      <c r="A2231" s="1" t="s">
        <v>2372</v>
      </c>
      <c r="B2231" s="1" t="str">
        <f ca="1">IFERROR(__xludf.DUMMYFUNCTION("GOOGLETRANSLATE(A2231, ""en"", ""fr"")"),"son")</f>
        <v>son</v>
      </c>
      <c r="J2231" s="1" t="s">
        <v>7</v>
      </c>
    </row>
    <row r="2232" spans="1:142" ht="14.25" customHeight="1" x14ac:dyDescent="0.3">
      <c r="A2232" s="1" t="s">
        <v>2373</v>
      </c>
      <c r="B2232" s="1" t="str">
        <f ca="1">IFERROR(__xludf.DUMMYFUNCTION("GOOGLETRANSLATE(A2232, ""en"", ""fr"")"),"se")</f>
        <v>se</v>
      </c>
      <c r="J2232" s="1" t="s">
        <v>7</v>
      </c>
    </row>
    <row r="2233" spans="1:142" ht="14.25" customHeight="1" x14ac:dyDescent="0.3">
      <c r="A2233" s="1" t="s">
        <v>2374</v>
      </c>
      <c r="B2233" s="1" t="str">
        <f ca="1">IFERROR(__xludf.DUMMYFUNCTION("GOOGLETRANSLATE(A2233, ""en"", ""fr"")"),"Hess Corp")</f>
        <v>Hess Corp</v>
      </c>
      <c r="AY2233" s="1" t="s">
        <v>48</v>
      </c>
      <c r="BG2233" s="1" t="s">
        <v>56</v>
      </c>
      <c r="DT2233" s="1" t="s">
        <v>121</v>
      </c>
    </row>
    <row r="2234" spans="1:142" ht="14.25" customHeight="1" x14ac:dyDescent="0.3">
      <c r="A2234" s="1" t="s">
        <v>2375</v>
      </c>
      <c r="B2234" s="1" t="str">
        <f ca="1">IFERROR(__xludf.DUMMYFUNCTION("GOOGLETRANSLATE(A2234, ""en"", ""fr"")"),"Hess Corporation")</f>
        <v>Hess Corporation</v>
      </c>
      <c r="AY2234" s="1" t="s">
        <v>48</v>
      </c>
      <c r="BG2234" s="1" t="s">
        <v>56</v>
      </c>
      <c r="BI2234" s="1" t="s">
        <v>58</v>
      </c>
      <c r="DT2234" s="1" t="s">
        <v>121</v>
      </c>
    </row>
    <row r="2235" spans="1:142" ht="14.25" customHeight="1" x14ac:dyDescent="0.3">
      <c r="A2235" s="1" t="s">
        <v>2376</v>
      </c>
      <c r="B2235" s="1" t="str">
        <f ca="1">IFERROR(__xludf.DUMMYFUNCTION("GOOGLETRANSLATE(A2235, ""en"", ""fr"")"),"hibernia")</f>
        <v>hibernia</v>
      </c>
      <c r="CC2235" s="1" t="s">
        <v>78</v>
      </c>
      <c r="DD2235" s="1" t="s">
        <v>105</v>
      </c>
      <c r="DF2235" s="1" t="s">
        <v>107</v>
      </c>
    </row>
    <row r="2236" spans="1:142" ht="14.25" customHeight="1" x14ac:dyDescent="0.3">
      <c r="A2236" s="1" t="s">
        <v>2377</v>
      </c>
      <c r="B2236" s="1" t="str">
        <f ca="1">IFERROR(__xludf.DUMMYFUNCTION("GOOGLETRANSLATE(A2236, ""en"", ""fr"")"),"Hydrocarbure de pression de vapeur élevée")</f>
        <v>Hydrocarbure de pression de vapeur élevée</v>
      </c>
      <c r="EL2236" s="1" t="s">
        <v>139</v>
      </c>
    </row>
    <row r="2237" spans="1:142" ht="14.25" customHeight="1" x14ac:dyDescent="0.3">
      <c r="A2237" s="1" t="s">
        <v>2378</v>
      </c>
      <c r="B2237" s="1" t="str">
        <f ca="1">IFERROR(__xludf.DUMMYFUNCTION("GOOGLETRANSLATE(A2237, ""en"", ""fr"")"),"LE PLUS ÉLEVÉ")</f>
        <v>LE PLUS ÉLEVÉ</v>
      </c>
      <c r="H2237" s="1" t="s">
        <v>4964</v>
      </c>
    </row>
    <row r="2238" spans="1:142" ht="14.25" customHeight="1" x14ac:dyDescent="0.3">
      <c r="A2238" s="1" t="s">
        <v>2379</v>
      </c>
      <c r="B2238" s="1" t="str">
        <f ca="1">IFERROR(__xludf.DUMMYFUNCTION("GOOGLETRANSLATE(A2238, ""en"", ""fr"")"),"lui")</f>
        <v>lui</v>
      </c>
      <c r="J2238" s="1" t="s">
        <v>7</v>
      </c>
    </row>
    <row r="2239" spans="1:142" ht="14.25" customHeight="1" x14ac:dyDescent="0.3">
      <c r="A2239" s="1" t="s">
        <v>2380</v>
      </c>
      <c r="B2239" s="1" t="str">
        <f ca="1">IFERROR(__xludf.DUMMYFUNCTION("GOOGLETRANSLATE(A2239, ""en"", ""fr"")"),"lui-même")</f>
        <v>lui-même</v>
      </c>
      <c r="J2239" s="1" t="s">
        <v>7</v>
      </c>
    </row>
    <row r="2240" spans="1:142" ht="14.25" customHeight="1" x14ac:dyDescent="0.3">
      <c r="A2240" s="1" t="s">
        <v>2381</v>
      </c>
      <c r="B2240" s="1" t="str">
        <f ca="1">IFERROR(__xludf.DUMMYFUNCTION("GOOGLETRANSLATE(A2240, ""en"", ""fr"")"),"ENTRAVER")</f>
        <v>ENTRAVER</v>
      </c>
      <c r="D2240" s="1" t="s">
        <v>4963</v>
      </c>
    </row>
    <row r="2241" spans="1:125" ht="14.25" customHeight="1" x14ac:dyDescent="0.3">
      <c r="A2241" s="1" t="s">
        <v>2382</v>
      </c>
      <c r="B2241" s="1" t="str">
        <f ca="1">IFERROR(__xludf.DUMMYFUNCTION("GOOGLETRANSLATE(A2241, ""en"", ""fr"")"),"Entravé")</f>
        <v>Entravé</v>
      </c>
      <c r="D2241" s="1" t="s">
        <v>4963</v>
      </c>
    </row>
    <row r="2242" spans="1:125" ht="14.25" customHeight="1" x14ac:dyDescent="0.3">
      <c r="A2242" s="1" t="s">
        <v>2383</v>
      </c>
      <c r="B2242" s="1" t="str">
        <f ca="1">IFERROR(__xludf.DUMMYFUNCTION("GOOGLETRANSLATE(A2242, ""en"", ""fr"")"),"ENTRAVE")</f>
        <v>ENTRAVE</v>
      </c>
      <c r="D2242" s="1" t="s">
        <v>4963</v>
      </c>
    </row>
    <row r="2243" spans="1:125" ht="14.25" customHeight="1" x14ac:dyDescent="0.3">
      <c r="A2243" s="1" t="s">
        <v>2384</v>
      </c>
      <c r="B2243" s="1" t="str">
        <f ca="1">IFERROR(__xludf.DUMMYFUNCTION("GOOGLETRANSLATE(A2243, ""en"", ""fr"")"),"Entrave")</f>
        <v>Entrave</v>
      </c>
      <c r="D2243" s="1" t="s">
        <v>4963</v>
      </c>
    </row>
    <row r="2244" spans="1:125" ht="14.25" customHeight="1" x14ac:dyDescent="0.3">
      <c r="A2244" s="1" t="s">
        <v>2385</v>
      </c>
      <c r="B2244" s="1" t="str">
        <f ca="1">IFERROR(__xludf.DUMMYFUNCTION("GOOGLETRANSLATE(A2244, ""en"", ""fr"")"),"OBSTACLE")</f>
        <v>OBSTACLE</v>
      </c>
      <c r="D2244" s="1" t="s">
        <v>4963</v>
      </c>
    </row>
    <row r="2245" spans="1:125" ht="14.25" customHeight="1" x14ac:dyDescent="0.3">
      <c r="A2245" s="1" t="s">
        <v>2386</v>
      </c>
      <c r="B2245" s="1" t="str">
        <f ca="1">IFERROR(__xludf.DUMMYFUNCTION("GOOGLETRANSLATE(A2245, ""en"", ""fr"")"),"Obstructions")</f>
        <v>Obstructions</v>
      </c>
      <c r="D2245" s="1" t="s">
        <v>4963</v>
      </c>
    </row>
    <row r="2246" spans="1:125" ht="14.25" customHeight="1" x14ac:dyDescent="0.3">
      <c r="A2246" s="1" t="s">
        <v>2387</v>
      </c>
      <c r="B2246" s="1" t="str">
        <f ca="1">IFERROR(__xludf.DUMMYFUNCTION("GOOGLETRANSLATE(A2246, ""en"", ""fr"")"),"son")</f>
        <v>son</v>
      </c>
      <c r="J2246" s="1" t="s">
        <v>7</v>
      </c>
    </row>
    <row r="2247" spans="1:125" ht="14.25" customHeight="1" x14ac:dyDescent="0.3">
      <c r="A2247" s="1" t="s">
        <v>2388</v>
      </c>
      <c r="B2247" s="1" t="str">
        <f ca="1">IFERROR(__xludf.DUMMYFUNCTION("GOOGLETRANSLATE(A2247, ""en"", ""fr"")"),"volatilité historique")</f>
        <v>volatilité historique</v>
      </c>
      <c r="CR2247" s="1" t="s">
        <v>93</v>
      </c>
    </row>
    <row r="2248" spans="1:125" ht="14.25" customHeight="1" x14ac:dyDescent="0.3">
      <c r="A2248" s="1" t="s">
        <v>2389</v>
      </c>
      <c r="B2248" s="1" t="str">
        <f ca="1">IFERROR(__xludf.DUMMYFUNCTION("GOOGLETRANSLATE(A2248, ""en"", ""fr"")"),"Hollande")</f>
        <v>Hollande</v>
      </c>
      <c r="DU2248" s="1" t="s">
        <v>122</v>
      </c>
    </row>
    <row r="2249" spans="1:125" ht="14.25" customHeight="1" x14ac:dyDescent="0.3">
      <c r="A2249" s="1" t="s">
        <v>2390</v>
      </c>
      <c r="B2249" s="1" t="str">
        <f ca="1">IFERROR(__xludf.DUMMYFUNCTION("GOOGLETRANSLATE(A2249, ""en"", ""fr"")"),"se retrouver")</f>
        <v>se retrouver</v>
      </c>
      <c r="CR2249" s="1" t="s">
        <v>93</v>
      </c>
    </row>
    <row r="2250" spans="1:125" ht="14.25" customHeight="1" x14ac:dyDescent="0.3">
      <c r="A2250" s="1" t="s">
        <v>2391</v>
      </c>
      <c r="B2250" s="1" t="str">
        <f ca="1">IFERROR(__xludf.DUMMYFUNCTION("GOOGLETRANSLATE(A2250, ""en"", ""fr"")"),"HONNEUR")</f>
        <v>HONNEUR</v>
      </c>
      <c r="H2250" s="1" t="s">
        <v>4964</v>
      </c>
    </row>
    <row r="2251" spans="1:125" ht="14.25" customHeight="1" x14ac:dyDescent="0.3">
      <c r="A2251" s="1" t="s">
        <v>2392</v>
      </c>
      <c r="B2251" s="1" t="str">
        <f ca="1">IFERROR(__xludf.DUMMYFUNCTION("GOOGLETRANSLATE(A2251, ""en"", ""fr"")"),"HONORABLE")</f>
        <v>HONORABLE</v>
      </c>
      <c r="H2251" s="1" t="s">
        <v>4964</v>
      </c>
    </row>
    <row r="2252" spans="1:125" ht="14.25" customHeight="1" x14ac:dyDescent="0.3">
      <c r="A2252" s="1" t="s">
        <v>2393</v>
      </c>
      <c r="B2252" s="1" t="str">
        <f ca="1">IFERROR(__xludf.DUMMYFUNCTION("GOOGLETRANSLATE(A2252, ""en"", ""fr"")"),"HONORÉ")</f>
        <v>HONORÉ</v>
      </c>
      <c r="H2252" s="1" t="s">
        <v>4964</v>
      </c>
    </row>
    <row r="2253" spans="1:125" ht="14.25" customHeight="1" x14ac:dyDescent="0.3">
      <c r="A2253" s="1" t="s">
        <v>2394</v>
      </c>
      <c r="B2253" s="1" t="str">
        <f ca="1">IFERROR(__xludf.DUMMYFUNCTION("GOOGLETRANSLATE(A2253, ""en"", ""fr"")"),"Honorable")</f>
        <v>Honorable</v>
      </c>
      <c r="H2253" s="1" t="s">
        <v>4964</v>
      </c>
    </row>
    <row r="2254" spans="1:125" ht="14.25" customHeight="1" x14ac:dyDescent="0.3">
      <c r="A2254" s="1" t="s">
        <v>2395</v>
      </c>
      <c r="B2254" s="1" t="str">
        <f ca="1">IFERROR(__xludf.DUMMYFUNCTION("GOOGLETRANSLATE(A2254, ""en"", ""fr"")"),"HONNEURS")</f>
        <v>HONNEURS</v>
      </c>
      <c r="H2254" s="1" t="s">
        <v>4964</v>
      </c>
    </row>
    <row r="2255" spans="1:125" ht="14.25" customHeight="1" x14ac:dyDescent="0.3">
      <c r="A2255" s="1" t="s">
        <v>2396</v>
      </c>
      <c r="B2255" s="1" t="str">
        <f ca="1">IFERROR(__xludf.DUMMYFUNCTION("GOOGLETRANSLATE(A2255, ""en"", ""fr"")"),"Forage horizontal")</f>
        <v>Forage horizontal</v>
      </c>
      <c r="AY2255" s="1" t="s">
        <v>48</v>
      </c>
    </row>
    <row r="2256" spans="1:125" ht="14.25" customHeight="1" x14ac:dyDescent="0.3">
      <c r="A2256" s="1" t="s">
        <v>2397</v>
      </c>
      <c r="B2256" s="1" t="str">
        <f ca="1">IFERROR(__xludf.DUMMYFUNCTION("GOOGLETRANSLATE(A2256, ""en"", ""fr"")"),"Bien horizontal")</f>
        <v>Bien horizontal</v>
      </c>
      <c r="E2256" s="1" t="s">
        <v>3</v>
      </c>
    </row>
    <row r="2257" spans="1:124" ht="14.25" customHeight="1" x14ac:dyDescent="0.3">
      <c r="A2257" s="1" t="s">
        <v>2398</v>
      </c>
      <c r="B2257" s="1" t="str">
        <f ca="1">IFERROR(__xludf.DUMMYFUNCTION("GOOGLETRANSLATE(A2257, ""en"", ""fr"")"),"HOSTILE")</f>
        <v>HOSTILE</v>
      </c>
      <c r="D2257" s="1" t="s">
        <v>4963</v>
      </c>
    </row>
    <row r="2258" spans="1:124" ht="14.25" customHeight="1" x14ac:dyDescent="0.3">
      <c r="A2258" s="1" t="s">
        <v>2399</v>
      </c>
      <c r="B2258" s="1" t="str">
        <f ca="1">IFERROR(__xludf.DUMMYFUNCTION("GOOGLETRANSLATE(A2258, ""en"", ""fr"")"),"HOSTILITÉ")</f>
        <v>HOSTILITÉ</v>
      </c>
      <c r="D2258" s="1" t="s">
        <v>4963</v>
      </c>
    </row>
    <row r="2259" spans="1:124" ht="14.25" customHeight="1" x14ac:dyDescent="0.3">
      <c r="A2259" s="1" t="s">
        <v>2400</v>
      </c>
      <c r="B2259" s="1" t="str">
        <f ca="1">IFERROR(__xludf.DUMMYFUNCTION("GOOGLETRANSLATE(A2259, ""en"", ""fr"")"),"Marché de l'heure")</f>
        <v>Marché de l'heure</v>
      </c>
      <c r="CR2259" s="1" t="s">
        <v>93</v>
      </c>
    </row>
    <row r="2260" spans="1:124" ht="14.25" customHeight="1" x14ac:dyDescent="0.3">
      <c r="A2260" s="1" t="s">
        <v>2401</v>
      </c>
      <c r="B2260" s="1" t="str">
        <f ca="1">IFERROR(__xludf.DUMMYFUNCTION("GOOGLETRANSLATE(A2260, ""en"", ""fr"")"),"mises en chantier")</f>
        <v>mises en chantier</v>
      </c>
      <c r="M2260" s="1" t="s">
        <v>10</v>
      </c>
    </row>
    <row r="2261" spans="1:124" ht="14.25" customHeight="1" x14ac:dyDescent="0.3">
      <c r="A2261" s="1" t="s">
        <v>2402</v>
      </c>
      <c r="B2261" s="1" t="str">
        <f ca="1">IFERROR(__xludf.DUMMYFUNCTION("GOOGLETRANSLATE(A2261, ""en"", ""fr"")"),"Hovensa")</f>
        <v>Hovensa</v>
      </c>
      <c r="BA2261" s="1" t="s">
        <v>50</v>
      </c>
      <c r="CF2261" s="1" t="s">
        <v>81</v>
      </c>
      <c r="DT2261" s="1" t="s">
        <v>121</v>
      </c>
    </row>
    <row r="2262" spans="1:124" ht="14.25" customHeight="1" x14ac:dyDescent="0.3">
      <c r="A2262" s="1" t="s">
        <v>2403</v>
      </c>
      <c r="B2262" s="1" t="str">
        <f ca="1">IFERROR(__xludf.DUMMYFUNCTION("GOOGLETRANSLATE(A2262, ""en"", ""fr"")"),"comment")</f>
        <v>comment</v>
      </c>
      <c r="J2262" s="1" t="s">
        <v>7</v>
      </c>
    </row>
    <row r="2263" spans="1:124" ht="14.25" customHeight="1" x14ac:dyDescent="0.3">
      <c r="A2263" s="1" t="s">
        <v>2404</v>
      </c>
      <c r="B2263" s="1" t="str">
        <f ca="1">IFERROR(__xludf.DUMMYFUNCTION("GOOGLETRANSLATE(A2263, ""en"", ""fr"")"),"cependant")</f>
        <v>cependant</v>
      </c>
      <c r="J2263" s="1" t="s">
        <v>7</v>
      </c>
    </row>
    <row r="2264" spans="1:124" ht="14.25" customHeight="1" x14ac:dyDescent="0.3">
      <c r="A2264" s="1" t="s">
        <v>2405</v>
      </c>
      <c r="B2264" s="1" t="str">
        <f ca="1">IFERROR(__xludf.DUMMYFUNCTION("GOOGLETRANSLATE(A2264, ""en"", ""fr"")"),"http")</f>
        <v>http</v>
      </c>
      <c r="J2264" s="1" t="s">
        <v>7</v>
      </c>
    </row>
    <row r="2265" spans="1:124" ht="14.25" customHeight="1" x14ac:dyDescent="0.3">
      <c r="A2265" s="1" t="s">
        <v>2406</v>
      </c>
      <c r="B2265" s="1" t="str">
        <f ca="1">IFERROR(__xludf.DUMMYFUNCTION("GOOGLETRANSLATE(A2265, ""en"", ""fr"")"),"Mélange hungo")</f>
        <v>Mélange hungo</v>
      </c>
      <c r="R2265" s="1" t="s">
        <v>15</v>
      </c>
      <c r="CS2265" s="1" t="s">
        <v>94</v>
      </c>
    </row>
    <row r="2266" spans="1:124" ht="14.25" customHeight="1" x14ac:dyDescent="0.3">
      <c r="A2266" s="1" t="s">
        <v>2407</v>
      </c>
      <c r="B2266" s="1" t="str">
        <f ca="1">IFERROR(__xludf.DUMMYFUNCTION("GOOGLETRANSLATE(A2266, ""en"", ""fr"")"),"BLESSER")</f>
        <v>BLESSER</v>
      </c>
      <c r="D2266" s="1" t="s">
        <v>4963</v>
      </c>
    </row>
    <row r="2267" spans="1:124" ht="14.25" customHeight="1" x14ac:dyDescent="0.3">
      <c r="A2267" s="1" t="s">
        <v>2408</v>
      </c>
      <c r="B2267" s="1" t="str">
        <f ca="1">IFERROR(__xludf.DUMMYFUNCTION("GOOGLETRANSLATE(A2267, ""en"", ""fr"")"),"Blessé")</f>
        <v>Blessé</v>
      </c>
      <c r="D2267" s="1" t="s">
        <v>4963</v>
      </c>
    </row>
    <row r="2268" spans="1:124" ht="14.25" customHeight="1" x14ac:dyDescent="0.3">
      <c r="A2268" s="1" t="s">
        <v>2409</v>
      </c>
      <c r="B2268" s="1" t="str">
        <f ca="1">IFERROR(__xludf.DUMMYFUNCTION("GOOGLETRANSLATE(A2268, ""en"", ""fr"")"),"Finition hydroélectrique")</f>
        <v>Finition hydroélectrique</v>
      </c>
      <c r="E2268" s="1" t="s">
        <v>3</v>
      </c>
    </row>
    <row r="2269" spans="1:124" ht="14.25" customHeight="1" x14ac:dyDescent="0.3">
      <c r="A2269" s="1" t="s">
        <v>2410</v>
      </c>
      <c r="B2269" s="1" t="str">
        <f ca="1">IFERROR(__xludf.DUMMYFUNCTION("GOOGLETRANSLATE(A2269, ""en"", ""fr"")"),"hyperinflation")</f>
        <v>hyperinflation</v>
      </c>
      <c r="M2269" s="1" t="s">
        <v>10</v>
      </c>
    </row>
    <row r="2270" spans="1:124" ht="14.25" customHeight="1" x14ac:dyDescent="0.3">
      <c r="A2270" s="1" t="s">
        <v>2411</v>
      </c>
      <c r="B2270" s="1" t="str">
        <f ca="1">IFERROR(__xludf.DUMMYFUNCTION("GOOGLETRANSLATE(A2270, ""en"", ""fr"")"),"IDÉAL")</f>
        <v>IDÉAL</v>
      </c>
      <c r="H2270" s="1" t="s">
        <v>4964</v>
      </c>
    </row>
    <row r="2271" spans="1:124" ht="14.25" customHeight="1" x14ac:dyDescent="0.3">
      <c r="A2271" s="1" t="s">
        <v>2412</v>
      </c>
      <c r="B2271" s="1" t="str">
        <f ca="1">IFERROR(__xludf.DUMMYFUNCTION("GOOGLETRANSLATE(A2271, ""en"", ""fr"")"),"INACTIF")</f>
        <v>INACTIF</v>
      </c>
      <c r="D2271" s="1" t="s">
        <v>4963</v>
      </c>
    </row>
    <row r="2272" spans="1:124" ht="14.25" customHeight="1" x14ac:dyDescent="0.3">
      <c r="A2272" s="1" t="s">
        <v>2413</v>
      </c>
      <c r="B2272" s="1" t="str">
        <f ca="1">IFERROR(__xludf.DUMMYFUNCTION("GOOGLETRANSLATE(A2272, ""en"", ""fr"")"),"Au ralenti")</f>
        <v>Au ralenti</v>
      </c>
      <c r="D2272" s="1" t="s">
        <v>4963</v>
      </c>
    </row>
    <row r="2273" spans="1:10" ht="14.25" customHeight="1" x14ac:dyDescent="0.3">
      <c r="A2273" s="1" t="s">
        <v>2414</v>
      </c>
      <c r="B2273" s="1" t="str">
        <f ca="1">IFERROR(__xludf.DUMMYFUNCTION("GOOGLETRANSLATE(A2273, ""en"", ""fr"")"),"Au ralenti")</f>
        <v>Au ralenti</v>
      </c>
      <c r="D2273" s="1" t="s">
        <v>4963</v>
      </c>
    </row>
    <row r="2274" spans="1:10" ht="14.25" customHeight="1" x14ac:dyDescent="0.3">
      <c r="A2274" s="1" t="s">
        <v>2415</v>
      </c>
      <c r="B2274" s="1" t="str">
        <f ca="1">IFERROR(__xludf.DUMMYFUNCTION("GOOGLETRANSLATE(A2274, ""en"", ""fr"")"),"si")</f>
        <v>si</v>
      </c>
      <c r="J2274" s="1" t="s">
        <v>7</v>
      </c>
    </row>
    <row r="2275" spans="1:10" ht="14.25" customHeight="1" x14ac:dyDescent="0.3">
      <c r="A2275" s="1" t="s">
        <v>2416</v>
      </c>
      <c r="B2275" s="1" t="str">
        <f ca="1">IFERROR(__xludf.DUMMYFUNCTION("GOOGLETRANSLATE(A2275, ""en"", ""fr"")"),"IGNORER")</f>
        <v>IGNORER</v>
      </c>
      <c r="D2275" s="1" t="s">
        <v>4963</v>
      </c>
    </row>
    <row r="2276" spans="1:10" ht="14.25" customHeight="1" x14ac:dyDescent="0.3">
      <c r="A2276" s="1" t="s">
        <v>2417</v>
      </c>
      <c r="B2276" s="1" t="str">
        <f ca="1">IFERROR(__xludf.DUMMYFUNCTION("GOOGLETRANSLATE(A2276, ""en"", ""fr"")"),"Ignoré")</f>
        <v>Ignoré</v>
      </c>
      <c r="D2276" s="1" t="s">
        <v>4963</v>
      </c>
    </row>
    <row r="2277" spans="1:10" ht="14.25" customHeight="1" x14ac:dyDescent="0.3">
      <c r="A2277" s="1" t="s">
        <v>2418</v>
      </c>
      <c r="B2277" s="1" t="str">
        <f ca="1">IFERROR(__xludf.DUMMYFUNCTION("GOOGLETRANSLATE(A2277, ""en"", ""fr"")"),"NE TIENT PAS COMPTE")</f>
        <v>NE TIENT PAS COMPTE</v>
      </c>
      <c r="D2277" s="1" t="s">
        <v>4963</v>
      </c>
    </row>
    <row r="2278" spans="1:10" ht="14.25" customHeight="1" x14ac:dyDescent="0.3">
      <c r="A2278" s="1" t="s">
        <v>2419</v>
      </c>
      <c r="B2278" s="1" t="str">
        <f ca="1">IFERROR(__xludf.DUMMYFUNCTION("GOOGLETRANSLATE(A2278, ""en"", ""fr"")"),"Ignorant")</f>
        <v>Ignorant</v>
      </c>
      <c r="D2278" s="1" t="s">
        <v>4963</v>
      </c>
    </row>
    <row r="2279" spans="1:10" ht="14.25" customHeight="1" x14ac:dyDescent="0.3">
      <c r="A2279" s="1" t="s">
        <v>2420</v>
      </c>
      <c r="B2279" s="1" t="str">
        <f ca="1">IFERROR(__xludf.DUMMYFUNCTION("GOOGLETRANSLATE(A2279, ""en"", ""fr"")"),"JE VAIS")</f>
        <v>JE VAIS</v>
      </c>
      <c r="D2279" s="1" t="s">
        <v>4963</v>
      </c>
    </row>
    <row r="2280" spans="1:10" ht="14.25" customHeight="1" x14ac:dyDescent="0.3">
      <c r="A2280" s="1" t="s">
        <v>2421</v>
      </c>
      <c r="B2280" s="1" t="str">
        <f ca="1">IFERROR(__xludf.DUMMYFUNCTION("GOOGLETRANSLATE(A2280, ""en"", ""fr"")"),"ILLÉGAL")</f>
        <v>ILLÉGAL</v>
      </c>
      <c r="D2280" s="1" t="s">
        <v>4963</v>
      </c>
    </row>
    <row r="2281" spans="1:10" ht="14.25" customHeight="1" x14ac:dyDescent="0.3">
      <c r="A2281" s="1" t="s">
        <v>2422</v>
      </c>
      <c r="B2281" s="1" t="str">
        <f ca="1">IFERROR(__xludf.DUMMYFUNCTION("GOOGLETRANSLATE(A2281, ""en"", ""fr"")"),"Illégalités")</f>
        <v>Illégalités</v>
      </c>
      <c r="D2281" s="1" t="s">
        <v>4963</v>
      </c>
    </row>
    <row r="2282" spans="1:10" ht="14.25" customHeight="1" x14ac:dyDescent="0.3">
      <c r="A2282" s="1" t="s">
        <v>2423</v>
      </c>
      <c r="B2282" s="1" t="str">
        <f ca="1">IFERROR(__xludf.DUMMYFUNCTION("GOOGLETRANSLATE(A2282, ""en"", ""fr"")"),"ILLÉGALITÉ")</f>
        <v>ILLÉGALITÉ</v>
      </c>
      <c r="D2282" s="1" t="s">
        <v>4963</v>
      </c>
    </row>
    <row r="2283" spans="1:10" ht="14.25" customHeight="1" x14ac:dyDescent="0.3">
      <c r="A2283" s="1" t="s">
        <v>2424</v>
      </c>
      <c r="B2283" s="1" t="str">
        <f ca="1">IFERROR(__xludf.DUMMYFUNCTION("GOOGLETRANSLATE(A2283, ""en"", ""fr"")"),"ILLÉGALEMENT")</f>
        <v>ILLÉGALEMENT</v>
      </c>
      <c r="D2283" s="1" t="s">
        <v>4963</v>
      </c>
    </row>
    <row r="2284" spans="1:10" ht="14.25" customHeight="1" x14ac:dyDescent="0.3">
      <c r="A2284" s="1" t="s">
        <v>2425</v>
      </c>
      <c r="B2284" s="1" t="str">
        <f ca="1">IFERROR(__xludf.DUMMYFUNCTION("GOOGLETRANSLATE(A2284, ""en"", ""fr"")"),"ILLISIBLE")</f>
        <v>ILLISIBLE</v>
      </c>
      <c r="D2284" s="1" t="s">
        <v>4963</v>
      </c>
    </row>
    <row r="2285" spans="1:10" ht="14.25" customHeight="1" x14ac:dyDescent="0.3">
      <c r="A2285" s="1" t="s">
        <v>2426</v>
      </c>
      <c r="B2285" s="1" t="str">
        <f ca="1">IFERROR(__xludf.DUMMYFUNCTION("GOOGLETRANSLATE(A2285, ""en"", ""fr"")"),"ILLICITE")</f>
        <v>ILLICITE</v>
      </c>
      <c r="D2285" s="1" t="s">
        <v>4963</v>
      </c>
    </row>
    <row r="2286" spans="1:10" ht="14.25" customHeight="1" x14ac:dyDescent="0.3">
      <c r="A2286" s="1" t="s">
        <v>2427</v>
      </c>
      <c r="B2286" s="1" t="str">
        <f ca="1">IFERROR(__xludf.DUMMYFUNCTION("GOOGLETRANSLATE(A2286, ""en"", ""fr"")"),"ILLICITEMENT")</f>
        <v>ILLICITEMENT</v>
      </c>
      <c r="D2286" s="1" t="s">
        <v>4963</v>
      </c>
    </row>
    <row r="2287" spans="1:10" ht="14.25" customHeight="1" x14ac:dyDescent="0.3">
      <c r="A2287" s="1" t="s">
        <v>2428</v>
      </c>
      <c r="B2287" s="1" t="str">
        <f ca="1">IFERROR(__xludf.DUMMYFUNCTION("GOOGLETRANSLATE(A2287, ""en"", ""fr"")"),"Non liquide")</f>
        <v>Non liquide</v>
      </c>
      <c r="D2287" s="1" t="s">
        <v>4963</v>
      </c>
    </row>
    <row r="2288" spans="1:10" ht="14.25" customHeight="1" x14ac:dyDescent="0.3">
      <c r="A2288" s="1" t="s">
        <v>2429</v>
      </c>
      <c r="B2288" s="1" t="str">
        <f ca="1">IFERROR(__xludf.DUMMYFUNCTION("GOOGLETRANSLATE(A2288, ""en"", ""fr"")"),"Illimité")</f>
        <v>Illimité</v>
      </c>
      <c r="D2288" s="1" t="s">
        <v>4963</v>
      </c>
    </row>
    <row r="2289" spans="1:13" ht="14.25" customHeight="1" x14ac:dyDescent="0.3">
      <c r="A2289" s="1" t="s">
        <v>2430</v>
      </c>
      <c r="B2289" s="1" t="str">
        <f ca="1">IFERROR(__xludf.DUMMYFUNCTION("GOOGLETRANSLATE(A2289, ""en"", ""fr"")"),"DÉSÉQUILIBRE")</f>
        <v>DÉSÉQUILIBRE</v>
      </c>
      <c r="D2289" s="1" t="s">
        <v>4963</v>
      </c>
    </row>
    <row r="2290" spans="1:13" ht="14.25" customHeight="1" x14ac:dyDescent="0.3">
      <c r="A2290" s="1" t="s">
        <v>2431</v>
      </c>
      <c r="B2290" s="1" t="str">
        <f ca="1">IFERROR(__xludf.DUMMYFUNCTION("GOOGLETRANSLATE(A2290, ""en"", ""fr"")"),"Déséquilibres")</f>
        <v>Déséquilibres</v>
      </c>
      <c r="D2290" s="1" t="s">
        <v>4963</v>
      </c>
    </row>
    <row r="2291" spans="1:13" ht="14.25" customHeight="1" x14ac:dyDescent="0.3">
      <c r="A2291" s="1" t="s">
        <v>2432</v>
      </c>
      <c r="B2291" s="1" t="str">
        <f ca="1">IFERROR(__xludf.DUMMYFUNCTION("GOOGLETRANSLATE(A2291, ""en"", ""fr"")"),"FMI")</f>
        <v>FMI</v>
      </c>
      <c r="M2291" s="1" t="s">
        <v>10</v>
      </c>
    </row>
    <row r="2292" spans="1:13" ht="14.25" customHeight="1" x14ac:dyDescent="0.3">
      <c r="A2292" s="1" t="s">
        <v>2433</v>
      </c>
      <c r="B2292" s="1" t="str">
        <f ca="1">IFERROR(__xludf.DUMMYFUNCTION("GOOGLETRANSLATE(A2292, ""en"", ""fr"")"),"IMMATURE")</f>
        <v>IMMATURE</v>
      </c>
      <c r="D2292" s="1" t="s">
        <v>4963</v>
      </c>
    </row>
    <row r="2293" spans="1:13" ht="14.25" customHeight="1" x14ac:dyDescent="0.3">
      <c r="A2293" s="1" t="s">
        <v>2434</v>
      </c>
      <c r="B2293" s="1" t="str">
        <f ca="1">IFERROR(__xludf.DUMMYFUNCTION("GOOGLETRANSLATE(A2293, ""en"", ""fr"")"),"IMMORAL")</f>
        <v>IMMORAL</v>
      </c>
      <c r="D2293" s="1" t="s">
        <v>4963</v>
      </c>
    </row>
    <row r="2294" spans="1:13" ht="14.25" customHeight="1" x14ac:dyDescent="0.3">
      <c r="A2294" s="1" t="s">
        <v>2435</v>
      </c>
      <c r="B2294" s="1" t="str">
        <f ca="1">IFERROR(__xludf.DUMMYFUNCTION("GOOGLETRANSLATE(A2294, ""en"", ""fr"")"),"IMPAIR")</f>
        <v>IMPAIR</v>
      </c>
      <c r="D2294" s="1" t="s">
        <v>4963</v>
      </c>
    </row>
    <row r="2295" spans="1:13" ht="14.25" customHeight="1" x14ac:dyDescent="0.3">
      <c r="A2295" s="1" t="s">
        <v>2436</v>
      </c>
      <c r="B2295" s="1" t="str">
        <f ca="1">IFERROR(__xludf.DUMMYFUNCTION("GOOGLETRANSLATE(A2295, ""en"", ""fr"")"),"Altéré")</f>
        <v>Altéré</v>
      </c>
      <c r="D2295" s="1" t="s">
        <v>4963</v>
      </c>
    </row>
    <row r="2296" spans="1:13" ht="14.25" customHeight="1" x14ac:dyDescent="0.3">
      <c r="A2296" s="1" t="s">
        <v>2437</v>
      </c>
      <c r="B2296" s="1" t="str">
        <f ca="1">IFERROR(__xludf.DUMMYFUNCTION("GOOGLETRANSLATE(A2296, ""en"", ""fr"")"),"Altération")</f>
        <v>Altération</v>
      </c>
      <c r="D2296" s="1" t="s">
        <v>4963</v>
      </c>
    </row>
    <row r="2297" spans="1:13" ht="14.25" customHeight="1" x14ac:dyDescent="0.3">
      <c r="A2297" s="1" t="s">
        <v>2438</v>
      </c>
      <c r="B2297" s="1" t="str">
        <f ca="1">IFERROR(__xludf.DUMMYFUNCTION("GOOGLETRANSLATE(A2297, ""en"", ""fr"")"),"Altération")</f>
        <v>Altération</v>
      </c>
      <c r="D2297" s="1" t="s">
        <v>4963</v>
      </c>
    </row>
    <row r="2298" spans="1:13" ht="14.25" customHeight="1" x14ac:dyDescent="0.3">
      <c r="A2298" s="1" t="s">
        <v>2439</v>
      </c>
      <c r="B2298" s="1" t="str">
        <f ca="1">IFERROR(__xludf.DUMMYFUNCTION("GOOGLETRANSLATE(A2298, ""en"", ""fr"")"),"Déficience")</f>
        <v>Déficience</v>
      </c>
      <c r="D2298" s="1" t="s">
        <v>4963</v>
      </c>
    </row>
    <row r="2299" spans="1:13" ht="14.25" customHeight="1" x14ac:dyDescent="0.3">
      <c r="A2299" s="1" t="s">
        <v>2440</v>
      </c>
      <c r="B2299" s="1" t="str">
        <f ca="1">IFERROR(__xludf.DUMMYFUNCTION("GOOGLETRANSLATE(A2299, ""en"", ""fr"")"),"Altération")</f>
        <v>Altération</v>
      </c>
      <c r="D2299" s="1" t="s">
        <v>4963</v>
      </c>
    </row>
    <row r="2300" spans="1:13" ht="14.25" customHeight="1" x14ac:dyDescent="0.3">
      <c r="A2300" s="1" t="s">
        <v>2441</v>
      </c>
      <c r="B2300" s="1" t="str">
        <f ca="1">IFERROR(__xludf.DUMMYFUNCTION("GOOGLETRANSLATE(A2300, ""en"", ""fr"")"),"IMPASSE")</f>
        <v>IMPASSE</v>
      </c>
      <c r="D2300" s="1" t="s">
        <v>4963</v>
      </c>
    </row>
    <row r="2301" spans="1:13" ht="14.25" customHeight="1" x14ac:dyDescent="0.3">
      <c r="A2301" s="1" t="s">
        <v>2442</v>
      </c>
      <c r="B2301" s="1" t="str">
        <f ca="1">IFERROR(__xludf.DUMMYFUNCTION("GOOGLETRANSLATE(A2301, ""en"", ""fr"")"),"Impassible")</f>
        <v>Impassible</v>
      </c>
      <c r="D2301" s="1" t="s">
        <v>4963</v>
      </c>
    </row>
    <row r="2302" spans="1:13" ht="14.25" customHeight="1" x14ac:dyDescent="0.3">
      <c r="A2302" s="1" t="s">
        <v>2443</v>
      </c>
      <c r="B2302" s="1" t="str">
        <f ca="1">IFERROR(__xludf.DUMMYFUNCTION("GOOGLETRANSLATE(A2302, ""en"", ""fr"")"),"ENTRAVER")</f>
        <v>ENTRAVER</v>
      </c>
      <c r="D2302" s="1" t="s">
        <v>4963</v>
      </c>
    </row>
    <row r="2303" spans="1:13" ht="14.25" customHeight="1" x14ac:dyDescent="0.3">
      <c r="A2303" s="1" t="s">
        <v>2444</v>
      </c>
      <c r="B2303" s="1" t="str">
        <f ca="1">IFERROR(__xludf.DUMMYFUNCTION("GOOGLETRANSLATE(A2303, ""en"", ""fr"")"),"Entravé")</f>
        <v>Entravé</v>
      </c>
      <c r="D2303" s="1" t="s">
        <v>4963</v>
      </c>
    </row>
    <row r="2304" spans="1:13" ht="14.25" customHeight="1" x14ac:dyDescent="0.3">
      <c r="A2304" s="1" t="s">
        <v>2445</v>
      </c>
      <c r="B2304" s="1" t="str">
        <f ca="1">IFERROR(__xludf.DUMMYFUNCTION("GOOGLETRANSLATE(A2304, ""en"", ""fr"")"),"Entraver")</f>
        <v>Entraver</v>
      </c>
      <c r="D2304" s="1" t="s">
        <v>4963</v>
      </c>
    </row>
    <row r="2305" spans="1:136" ht="14.25" customHeight="1" x14ac:dyDescent="0.3">
      <c r="A2305" s="1" t="s">
        <v>2446</v>
      </c>
      <c r="B2305" s="1" t="str">
        <f ca="1">IFERROR(__xludf.DUMMYFUNCTION("GOOGLETRANSLATE(A2305, ""en"", ""fr"")"),"OBSTACLE")</f>
        <v>OBSTACLE</v>
      </c>
      <c r="D2305" s="1" t="s">
        <v>4963</v>
      </c>
    </row>
    <row r="2306" spans="1:136" ht="14.25" customHeight="1" x14ac:dyDescent="0.3">
      <c r="A2306" s="1" t="s">
        <v>2447</v>
      </c>
      <c r="B2306" s="1" t="str">
        <f ca="1">IFERROR(__xludf.DUMMYFUNCTION("GOOGLETRANSLATE(A2306, ""en"", ""fr"")"),"Obstacles")</f>
        <v>Obstacles</v>
      </c>
      <c r="D2306" s="1" t="s">
        <v>4963</v>
      </c>
    </row>
    <row r="2307" spans="1:136" ht="14.25" customHeight="1" x14ac:dyDescent="0.3">
      <c r="A2307" s="1" t="s">
        <v>2448</v>
      </c>
      <c r="B2307" s="1" t="str">
        <f ca="1">IFERROR(__xludf.DUMMYFUNCTION("GOOGLETRANSLATE(A2307, ""en"", ""fr"")"),"Entrave")</f>
        <v>Entrave</v>
      </c>
      <c r="D2307" s="1" t="s">
        <v>4963</v>
      </c>
    </row>
    <row r="2308" spans="1:136" ht="14.25" customHeight="1" x14ac:dyDescent="0.3">
      <c r="A2308" s="1" t="s">
        <v>2449</v>
      </c>
      <c r="B2308" s="1" t="str">
        <f ca="1">IFERROR(__xludf.DUMMYFUNCTION("GOOGLETRANSLATE(A2308, ""en"", ""fr"")"),"IMMINENT")</f>
        <v>IMMINENT</v>
      </c>
      <c r="D2308" s="1" t="s">
        <v>4963</v>
      </c>
    </row>
    <row r="2309" spans="1:136" ht="14.25" customHeight="1" x14ac:dyDescent="0.3">
      <c r="A2309" s="1" t="s">
        <v>2450</v>
      </c>
      <c r="B2309" s="1" t="str">
        <f ca="1">IFERROR(__xludf.DUMMYFUNCTION("GOOGLETRANSLATE(A2309, ""en"", ""fr"")"),"IMPÉRATIF")</f>
        <v>IMPÉRATIF</v>
      </c>
      <c r="D2309" s="1" t="s">
        <v>4963</v>
      </c>
    </row>
    <row r="2310" spans="1:136" ht="14.25" customHeight="1" x14ac:dyDescent="0.3">
      <c r="A2310" s="1" t="s">
        <v>2451</v>
      </c>
      <c r="B2310" s="1" t="str">
        <f ca="1">IFERROR(__xludf.DUMMYFUNCTION("GOOGLETRANSLATE(A2310, ""en"", ""fr"")"),"IMPERFECTION")</f>
        <v>IMPERFECTION</v>
      </c>
      <c r="D2310" s="1" t="s">
        <v>4963</v>
      </c>
    </row>
    <row r="2311" spans="1:136" ht="14.25" customHeight="1" x14ac:dyDescent="0.3">
      <c r="A2311" s="1" t="s">
        <v>2452</v>
      </c>
      <c r="B2311" s="1" t="str">
        <f ca="1">IFERROR(__xludf.DUMMYFUNCTION("GOOGLETRANSLATE(A2311, ""en"", ""fr"")"),"Imperfections")</f>
        <v>Imperfections</v>
      </c>
      <c r="D2311" s="1" t="s">
        <v>4963</v>
      </c>
    </row>
    <row r="2312" spans="1:136" ht="14.25" customHeight="1" x14ac:dyDescent="0.3">
      <c r="A2312" s="1" t="s">
        <v>2453</v>
      </c>
      <c r="B2312" s="1" t="str">
        <f ca="1">IFERROR(__xludf.DUMMYFUNCTION("GOOGLETRANSLATE(A2312, ""en"", ""fr"")"),"METTRE EN PÉRIL")</f>
        <v>METTRE EN PÉRIL</v>
      </c>
      <c r="D2312" s="1" t="s">
        <v>4963</v>
      </c>
    </row>
    <row r="2313" spans="1:136" ht="14.25" customHeight="1" x14ac:dyDescent="0.3">
      <c r="A2313" s="1" t="s">
        <v>2454</v>
      </c>
      <c r="B2313" s="1" t="str">
        <f ca="1">IFERROR(__xludf.DUMMYFUNCTION("GOOGLETRANSLATE(A2313, ""en"", ""fr"")"),"Inquiet")</f>
        <v>Inquiet</v>
      </c>
      <c r="D2313" s="1" t="s">
        <v>4963</v>
      </c>
    </row>
    <row r="2314" spans="1:136" ht="14.25" customHeight="1" x14ac:dyDescent="0.3">
      <c r="A2314" s="1" t="s">
        <v>2455</v>
      </c>
      <c r="B2314" s="1" t="str">
        <f ca="1">IFERROR(__xludf.DUMMYFUNCTION("GOOGLETRANSLATE(A2314, ""en"", ""fr"")"),"décalage de mise en œuvre")</f>
        <v>décalage de mise en œuvre</v>
      </c>
      <c r="M2314" s="1" t="s">
        <v>10</v>
      </c>
    </row>
    <row r="2315" spans="1:136" ht="14.25" customHeight="1" x14ac:dyDescent="0.3">
      <c r="A2315" s="1" t="s">
        <v>2456</v>
      </c>
      <c r="B2315" s="1" t="str">
        <f ca="1">IFERROR(__xludf.DUMMYFUNCTION("GOOGLETRANSLATE(A2315, ""en"", ""fr"")"),"IMPLIQUER")</f>
        <v>IMPLIQUER</v>
      </c>
      <c r="D2315" s="1" t="s">
        <v>4963</v>
      </c>
    </row>
    <row r="2316" spans="1:136" ht="14.25" customHeight="1" x14ac:dyDescent="0.3">
      <c r="A2316" s="1" t="s">
        <v>2457</v>
      </c>
      <c r="B2316" s="1" t="str">
        <f ca="1">IFERROR(__xludf.DUMMYFUNCTION("GOOGLETRANSLATE(A2316, ""en"", ""fr"")"),"Impliqué")</f>
        <v>Impliqué</v>
      </c>
      <c r="D2316" s="1" t="s">
        <v>4963</v>
      </c>
    </row>
    <row r="2317" spans="1:136" ht="14.25" customHeight="1" x14ac:dyDescent="0.3">
      <c r="A2317" s="1" t="s">
        <v>2458</v>
      </c>
      <c r="B2317" s="1" t="str">
        <f ca="1">IFERROR(__xludf.DUMMYFUNCTION("GOOGLETRANSLATE(A2317, ""en"", ""fr"")"),"Impliqué")</f>
        <v>Impliqué</v>
      </c>
      <c r="D2317" s="1" t="s">
        <v>4963</v>
      </c>
    </row>
    <row r="2318" spans="1:136" ht="14.25" customHeight="1" x14ac:dyDescent="0.3">
      <c r="A2318" s="1" t="s">
        <v>2459</v>
      </c>
      <c r="B2318" s="1" t="str">
        <f ca="1">IFERROR(__xludf.DUMMYFUNCTION("GOOGLETRANSLATE(A2318, ""en"", ""fr"")"),"Impliquant")</f>
        <v>Impliquant</v>
      </c>
      <c r="D2318" s="1" t="s">
        <v>4963</v>
      </c>
    </row>
    <row r="2319" spans="1:136" ht="14.25" customHeight="1" x14ac:dyDescent="0.3">
      <c r="A2319" s="1" t="s">
        <v>2460</v>
      </c>
      <c r="B2319" s="1" t="str">
        <f ca="1">IFERROR(__xludf.DUMMYFUNCTION("GOOGLETRANSLATE(A2319, ""en"", ""fr"")"),"la volatilité implicite")</f>
        <v>la volatilité implicite</v>
      </c>
      <c r="CR2319" s="1" t="s">
        <v>93</v>
      </c>
      <c r="EF2319" s="1" t="s">
        <v>133</v>
      </c>
    </row>
    <row r="2320" spans="1:136" ht="14.25" customHeight="1" x14ac:dyDescent="0.3">
      <c r="A2320" s="1" t="s">
        <v>2461</v>
      </c>
      <c r="B2320" s="1" t="str">
        <f ca="1">IFERROR(__xludf.DUMMYFUNCTION("GOOGLETRANSLATE(A2320, ""en"", ""fr"")"),"inflation importée")</f>
        <v>inflation importée</v>
      </c>
      <c r="M2320" s="1" t="s">
        <v>10</v>
      </c>
    </row>
    <row r="2321" spans="1:8" ht="14.25" customHeight="1" x14ac:dyDescent="0.3">
      <c r="A2321" s="1" t="s">
        <v>2462</v>
      </c>
      <c r="B2321" s="1" t="str">
        <f ca="1">IFERROR(__xludf.DUMMYFUNCTION("GOOGLETRANSLATE(A2321, ""en"", ""fr"")"),"IMPOSSIBILITÉ")</f>
        <v>IMPOSSIBILITÉ</v>
      </c>
      <c r="D2321" s="1" t="s">
        <v>4963</v>
      </c>
    </row>
    <row r="2322" spans="1:8" ht="14.25" customHeight="1" x14ac:dyDescent="0.3">
      <c r="A2322" s="1" t="s">
        <v>2463</v>
      </c>
      <c r="B2322" s="1" t="str">
        <f ca="1">IFERROR(__xludf.DUMMYFUNCTION("GOOGLETRANSLATE(A2322, ""en"", ""fr"")"),"IMPOSSIBLE")</f>
        <v>IMPOSSIBLE</v>
      </c>
      <c r="D2322" s="1" t="s">
        <v>4963</v>
      </c>
    </row>
    <row r="2323" spans="1:8" ht="14.25" customHeight="1" x14ac:dyDescent="0.3">
      <c r="A2323" s="1" t="s">
        <v>2464</v>
      </c>
      <c r="B2323" s="1" t="str">
        <f ca="1">IFERROR(__xludf.DUMMYFUNCTION("GOOGLETRANSLATE(A2323, ""en"", ""fr"")"),"METTRE EN FOURRIÈRE")</f>
        <v>METTRE EN FOURRIÈRE</v>
      </c>
      <c r="D2323" s="1" t="s">
        <v>4963</v>
      </c>
    </row>
    <row r="2324" spans="1:8" ht="14.25" customHeight="1" x14ac:dyDescent="0.3">
      <c r="A2324" s="1" t="s">
        <v>2465</v>
      </c>
      <c r="B2324" s="1" t="str">
        <f ca="1">IFERROR(__xludf.DUMMYFUNCTION("GOOGLETRANSLATE(A2324, ""en"", ""fr"")"),"Enlacé")</f>
        <v>Enlacé</v>
      </c>
      <c r="D2324" s="1" t="s">
        <v>4963</v>
      </c>
    </row>
    <row r="2325" spans="1:8" ht="14.25" customHeight="1" x14ac:dyDescent="0.3">
      <c r="A2325" s="1" t="s">
        <v>2466</v>
      </c>
      <c r="B2325" s="1" t="str">
        <f ca="1">IFERROR(__xludf.DUMMYFUNCTION("GOOGLETRANSLATE(A2325, ""en"", ""fr"")"),"Fournaise")</f>
        <v>Fournaise</v>
      </c>
      <c r="D2325" s="1" t="s">
        <v>4963</v>
      </c>
    </row>
    <row r="2326" spans="1:8" ht="14.25" customHeight="1" x14ac:dyDescent="0.3">
      <c r="A2326" s="1" t="s">
        <v>2467</v>
      </c>
      <c r="B2326" s="1" t="str">
        <f ca="1">IFERROR(__xludf.DUMMYFUNCTION("GOOGLETRANSLATE(A2326, ""en"", ""fr"")"),"Mine")</f>
        <v>Mine</v>
      </c>
      <c r="D2326" s="1" t="s">
        <v>4963</v>
      </c>
    </row>
    <row r="2327" spans="1:8" ht="14.25" customHeight="1" x14ac:dyDescent="0.3">
      <c r="A2327" s="1" t="s">
        <v>2468</v>
      </c>
      <c r="B2327" s="1" t="str">
        <f ca="1">IFERROR(__xludf.DUMMYFUNCTION("GOOGLETRANSLATE(A2327, ""en"", ""fr"")"),"IMPRATICABLE")</f>
        <v>IMPRATICABLE</v>
      </c>
      <c r="D2327" s="1" t="s">
        <v>4963</v>
      </c>
    </row>
    <row r="2328" spans="1:8" ht="14.25" customHeight="1" x14ac:dyDescent="0.3">
      <c r="A2328" s="1" t="s">
        <v>2469</v>
      </c>
      <c r="B2328" s="1" t="str">
        <f ca="1">IFERROR(__xludf.DUMMYFUNCTION("GOOGLETRANSLATE(A2328, ""en"", ""fr"")"),"PAS PRATIQUE")</f>
        <v>PAS PRATIQUE</v>
      </c>
      <c r="D2328" s="1" t="s">
        <v>4963</v>
      </c>
    </row>
    <row r="2329" spans="1:8" ht="14.25" customHeight="1" x14ac:dyDescent="0.3">
      <c r="A2329" s="1" t="s">
        <v>2470</v>
      </c>
      <c r="B2329" s="1" t="str">
        <f ca="1">IFERROR(__xludf.DUMMYFUNCTION("GOOGLETRANSLATE(A2329, ""en"", ""fr"")"),"Impratications")</f>
        <v>Impratications</v>
      </c>
      <c r="D2329" s="1" t="s">
        <v>4963</v>
      </c>
    </row>
    <row r="2330" spans="1:8" ht="14.25" customHeight="1" x14ac:dyDescent="0.3">
      <c r="A2330" s="1" t="s">
        <v>2471</v>
      </c>
      <c r="B2330" s="1" t="str">
        <f ca="1">IFERROR(__xludf.DUMMYFUNCTION("GOOGLETRANSLATE(A2330, ""en"", ""fr"")"),"MANQUE DE RÉALISME")</f>
        <v>MANQUE DE RÉALISME</v>
      </c>
      <c r="D2330" s="1" t="s">
        <v>4963</v>
      </c>
    </row>
    <row r="2331" spans="1:8" ht="14.25" customHeight="1" x14ac:dyDescent="0.3">
      <c r="A2331" s="1" t="s">
        <v>2472</v>
      </c>
      <c r="B2331" s="1" t="str">
        <f ca="1">IFERROR(__xludf.DUMMYFUNCTION("GOOGLETRANSLATE(A2331, ""en"", ""fr"")"),"IMPRESSIONNER")</f>
        <v>IMPRESSIONNER</v>
      </c>
      <c r="H2331" s="1" t="s">
        <v>4964</v>
      </c>
    </row>
    <row r="2332" spans="1:8" ht="14.25" customHeight="1" x14ac:dyDescent="0.3">
      <c r="A2332" s="1" t="s">
        <v>2473</v>
      </c>
      <c r="B2332" s="1" t="str">
        <f ca="1">IFERROR(__xludf.DUMMYFUNCTION("GOOGLETRANSLATE(A2332, ""en"", ""fr"")"),"Impressionné")</f>
        <v>Impressionné</v>
      </c>
      <c r="H2332" s="1" t="s">
        <v>4964</v>
      </c>
    </row>
    <row r="2333" spans="1:8" ht="14.25" customHeight="1" x14ac:dyDescent="0.3">
      <c r="A2333" s="1" t="s">
        <v>2474</v>
      </c>
      <c r="B2333" s="1" t="str">
        <f ca="1">IFERROR(__xludf.DUMMYFUNCTION("GOOGLETRANSLATE(A2333, ""en"", ""fr"")"),"Impressionner")</f>
        <v>Impressionner</v>
      </c>
      <c r="H2333" s="1" t="s">
        <v>4964</v>
      </c>
    </row>
    <row r="2334" spans="1:8" ht="14.25" customHeight="1" x14ac:dyDescent="0.3">
      <c r="A2334" s="1" t="s">
        <v>2475</v>
      </c>
      <c r="B2334" s="1" t="str">
        <f ca="1">IFERROR(__xludf.DUMMYFUNCTION("GOOGLETRANSLATE(A2334, ""en"", ""fr"")"),"Impressionnant")</f>
        <v>Impressionnant</v>
      </c>
      <c r="H2334" s="1" t="s">
        <v>4964</v>
      </c>
    </row>
    <row r="2335" spans="1:8" ht="14.25" customHeight="1" x14ac:dyDescent="0.3">
      <c r="A2335" s="1" t="s">
        <v>2476</v>
      </c>
      <c r="B2335" s="1" t="str">
        <f ca="1">IFERROR(__xludf.DUMMYFUNCTION("GOOGLETRANSLATE(A2335, ""en"", ""fr"")"),"IMPRESSIONNANT")</f>
        <v>IMPRESSIONNANT</v>
      </c>
      <c r="H2335" s="1" t="s">
        <v>4964</v>
      </c>
    </row>
    <row r="2336" spans="1:8" ht="14.25" customHeight="1" x14ac:dyDescent="0.3">
      <c r="A2336" s="1" t="s">
        <v>2477</v>
      </c>
      <c r="B2336" s="1" t="str">
        <f ca="1">IFERROR(__xludf.DUMMYFUNCTION("GOOGLETRANSLATE(A2336, ""en"", ""fr"")"),"Impressionnant")</f>
        <v>Impressionnant</v>
      </c>
      <c r="H2336" s="1" t="s">
        <v>4964</v>
      </c>
    </row>
    <row r="2337" spans="1:10" ht="14.25" customHeight="1" x14ac:dyDescent="0.3">
      <c r="A2337" s="1" t="s">
        <v>2478</v>
      </c>
      <c r="B2337" s="1" t="str">
        <f ca="1">IFERROR(__xludf.DUMMYFUNCTION("GOOGLETRANSLATE(A2337, ""en"", ""fr"")"),"EMPRISONNEMENT")</f>
        <v>EMPRISONNEMENT</v>
      </c>
      <c r="D2337" s="1" t="s">
        <v>4963</v>
      </c>
    </row>
    <row r="2338" spans="1:10" ht="14.25" customHeight="1" x14ac:dyDescent="0.3">
      <c r="A2338" s="1" t="s">
        <v>2479</v>
      </c>
      <c r="B2338" s="1" t="str">
        <f ca="1">IFERROR(__xludf.DUMMYFUNCTION("GOOGLETRANSLATE(A2338, ""en"", ""fr"")"),"NON CONFORME")</f>
        <v>NON CONFORME</v>
      </c>
      <c r="D2338" s="1" t="s">
        <v>4963</v>
      </c>
    </row>
    <row r="2339" spans="1:10" ht="14.25" customHeight="1" x14ac:dyDescent="0.3">
      <c r="A2339" s="1" t="s">
        <v>2480</v>
      </c>
      <c r="B2339" s="1" t="str">
        <f ca="1">IFERROR(__xludf.DUMMYFUNCTION("GOOGLETRANSLATE(A2339, ""en"", ""fr"")"),"Mal")</f>
        <v>Mal</v>
      </c>
      <c r="D2339" s="1" t="s">
        <v>4963</v>
      </c>
    </row>
    <row r="2340" spans="1:10" ht="14.25" customHeight="1" x14ac:dyDescent="0.3">
      <c r="A2340" s="1" t="s">
        <v>2481</v>
      </c>
      <c r="B2340" s="1" t="str">
        <f ca="1">IFERROR(__xludf.DUMMYFUNCTION("GOOGLETRANSLATE(A2340, ""en"", ""fr"")"),"Activités")</f>
        <v>Activités</v>
      </c>
      <c r="D2340" s="1" t="s">
        <v>4963</v>
      </c>
    </row>
    <row r="2341" spans="1:10" ht="14.25" customHeight="1" x14ac:dyDescent="0.3">
      <c r="A2341" s="1" t="s">
        <v>2482</v>
      </c>
      <c r="B2341" s="1" t="str">
        <f ca="1">IFERROR(__xludf.DUMMYFUNCTION("GOOGLETRANSLATE(A2341, ""en"", ""fr"")"),"INCONVENANCE")</f>
        <v>INCONVENANCE</v>
      </c>
      <c r="D2341" s="1" t="s">
        <v>4963</v>
      </c>
    </row>
    <row r="2342" spans="1:10" ht="14.25" customHeight="1" x14ac:dyDescent="0.3">
      <c r="A2342" s="1" t="s">
        <v>2483</v>
      </c>
      <c r="B2342" s="1" t="str">
        <f ca="1">IFERROR(__xludf.DUMMYFUNCTION("GOOGLETRANSLATE(A2342, ""en"", ""fr"")"),"AMÉLIORER")</f>
        <v>AMÉLIORER</v>
      </c>
      <c r="H2342" s="1" t="s">
        <v>4964</v>
      </c>
    </row>
    <row r="2343" spans="1:10" ht="14.25" customHeight="1" x14ac:dyDescent="0.3">
      <c r="A2343" s="1" t="s">
        <v>2484</v>
      </c>
      <c r="B2343" s="1" t="str">
        <f ca="1">IFERROR(__xludf.DUMMYFUNCTION("GOOGLETRANSLATE(A2343, ""en"", ""fr"")"),"AMÉLIORÉ")</f>
        <v>AMÉLIORÉ</v>
      </c>
      <c r="H2343" s="1" t="s">
        <v>4964</v>
      </c>
    </row>
    <row r="2344" spans="1:10" ht="14.25" customHeight="1" x14ac:dyDescent="0.3">
      <c r="A2344" s="1" t="s">
        <v>2485</v>
      </c>
      <c r="B2344" s="1" t="str">
        <f ca="1">IFERROR(__xludf.DUMMYFUNCTION("GOOGLETRANSLATE(A2344, ""en"", ""fr"")"),"AMÉLIORATION")</f>
        <v>AMÉLIORATION</v>
      </c>
      <c r="H2344" s="1" t="s">
        <v>4964</v>
      </c>
    </row>
    <row r="2345" spans="1:10" ht="14.25" customHeight="1" x14ac:dyDescent="0.3">
      <c r="A2345" s="1" t="s">
        <v>2486</v>
      </c>
      <c r="B2345" s="1" t="str">
        <f ca="1">IFERROR(__xludf.DUMMYFUNCTION("GOOGLETRANSLATE(A2345, ""en"", ""fr"")"),"Améliorations")</f>
        <v>Améliorations</v>
      </c>
      <c r="H2345" s="1" t="s">
        <v>4964</v>
      </c>
    </row>
    <row r="2346" spans="1:10" ht="14.25" customHeight="1" x14ac:dyDescent="0.3">
      <c r="A2346" s="1" t="s">
        <v>2487</v>
      </c>
      <c r="B2346" s="1" t="str">
        <f ca="1">IFERROR(__xludf.DUMMYFUNCTION("GOOGLETRANSLATE(A2346, ""en"", ""fr"")"),"Améliorer")</f>
        <v>Améliorer</v>
      </c>
      <c r="H2346" s="1" t="s">
        <v>4964</v>
      </c>
    </row>
    <row r="2347" spans="1:10" ht="14.25" customHeight="1" x14ac:dyDescent="0.3">
      <c r="A2347" s="1" t="s">
        <v>2488</v>
      </c>
      <c r="B2347" s="1" t="str">
        <f ca="1">IFERROR(__xludf.DUMMYFUNCTION("GOOGLETRANSLATE(A2347, ""en"", ""fr"")"),"Amélioration")</f>
        <v>Amélioration</v>
      </c>
      <c r="H2347" s="1" t="s">
        <v>4964</v>
      </c>
    </row>
    <row r="2348" spans="1:10" ht="14.25" customHeight="1" x14ac:dyDescent="0.3">
      <c r="A2348" s="1" t="s">
        <v>2489</v>
      </c>
      <c r="B2348" s="1" t="str">
        <f ca="1">IFERROR(__xludf.DUMMYFUNCTION("GOOGLETRANSLATE(A2348, ""en"", ""fr"")"),"IMPRUDENT")</f>
        <v>IMPRUDENT</v>
      </c>
      <c r="D2348" s="1" t="s">
        <v>4963</v>
      </c>
    </row>
    <row r="2349" spans="1:10" ht="14.25" customHeight="1" x14ac:dyDescent="0.3">
      <c r="A2349" s="1" t="s">
        <v>2490</v>
      </c>
      <c r="B2349" s="1" t="str">
        <f ca="1">IFERROR(__xludf.DUMMYFUNCTION("GOOGLETRANSLATE(A2349, ""en"", ""fr"")"),"IMPRUDEMMENT")</f>
        <v>IMPRUDEMMENT</v>
      </c>
      <c r="D2349" s="1" t="s">
        <v>4963</v>
      </c>
    </row>
    <row r="2350" spans="1:10" ht="14.25" customHeight="1" x14ac:dyDescent="0.3">
      <c r="A2350" s="1" t="s">
        <v>2491</v>
      </c>
      <c r="B2350" s="1" t="str">
        <f ca="1">IFERROR(__xludf.DUMMYFUNCTION("GOOGLETRANSLATE(A2350, ""en"", ""fr"")"),"dans")</f>
        <v>dans</v>
      </c>
      <c r="J2350" s="1" t="s">
        <v>7</v>
      </c>
    </row>
    <row r="2351" spans="1:10" ht="14.25" customHeight="1" x14ac:dyDescent="0.3">
      <c r="A2351" s="1" t="s">
        <v>2492</v>
      </c>
      <c r="B2351" s="1" t="str">
        <f ca="1">IFERROR(__xludf.DUMMYFUNCTION("GOOGLETRANSLATE(A2351, ""en"", ""fr"")"),"INCAPACITÉ")</f>
        <v>INCAPACITÉ</v>
      </c>
      <c r="D2351" s="1" t="s">
        <v>4963</v>
      </c>
    </row>
    <row r="2352" spans="1:10" ht="14.25" customHeight="1" x14ac:dyDescent="0.3">
      <c r="A2352" s="1" t="s">
        <v>2493</v>
      </c>
      <c r="B2352" s="1" t="str">
        <f ca="1">IFERROR(__xludf.DUMMYFUNCTION("GOOGLETRANSLATE(A2352, ""en"", ""fr"")"),"INACCESSIBLE")</f>
        <v>INACCESSIBLE</v>
      </c>
      <c r="D2352" s="1" t="s">
        <v>4963</v>
      </c>
    </row>
    <row r="2353" spans="1:4" ht="14.25" customHeight="1" x14ac:dyDescent="0.3">
      <c r="A2353" s="1" t="s">
        <v>2494</v>
      </c>
      <c r="B2353" s="1" t="str">
        <f ca="1">IFERROR(__xludf.DUMMYFUNCTION("GOOGLETRANSLATE(A2353, ""en"", ""fr"")"),"Inexactitudes")</f>
        <v>Inexactitudes</v>
      </c>
      <c r="D2353" s="1" t="s">
        <v>4963</v>
      </c>
    </row>
    <row r="2354" spans="1:4" ht="14.25" customHeight="1" x14ac:dyDescent="0.3">
      <c r="A2354" s="1" t="s">
        <v>2495</v>
      </c>
      <c r="B2354" s="1" t="str">
        <f ca="1">IFERROR(__xludf.DUMMYFUNCTION("GOOGLETRANSLATE(A2354, ""en"", ""fr"")"),"INEXACTITUDE")</f>
        <v>INEXACTITUDE</v>
      </c>
      <c r="D2354" s="1" t="s">
        <v>4963</v>
      </c>
    </row>
    <row r="2355" spans="1:4" ht="14.25" customHeight="1" x14ac:dyDescent="0.3">
      <c r="A2355" s="1" t="s">
        <v>2496</v>
      </c>
      <c r="B2355" s="1" t="str">
        <f ca="1">IFERROR(__xludf.DUMMYFUNCTION("GOOGLETRANSLATE(A2355, ""en"", ""fr"")"),"INEXACTE")</f>
        <v>INEXACTE</v>
      </c>
      <c r="D2355" s="1" t="s">
        <v>4963</v>
      </c>
    </row>
    <row r="2356" spans="1:4" ht="14.25" customHeight="1" x14ac:dyDescent="0.3">
      <c r="A2356" s="1" t="s">
        <v>2497</v>
      </c>
      <c r="B2356" s="1" t="str">
        <f ca="1">IFERROR(__xludf.DUMMYFUNCTION("GOOGLETRANSLATE(A2356, ""en"", ""fr"")"),"INEXACTEMENT")</f>
        <v>INEXACTEMENT</v>
      </c>
      <c r="D2356" s="1" t="s">
        <v>4963</v>
      </c>
    </row>
    <row r="2357" spans="1:4" ht="14.25" customHeight="1" x14ac:dyDescent="0.3">
      <c r="A2357" s="1" t="s">
        <v>2498</v>
      </c>
      <c r="B2357" s="1" t="str">
        <f ca="1">IFERROR(__xludf.DUMMYFUNCTION("GOOGLETRANSLATE(A2357, ""en"", ""fr"")"),"INACTION")</f>
        <v>INACTION</v>
      </c>
      <c r="D2357" s="1" t="s">
        <v>4963</v>
      </c>
    </row>
    <row r="2358" spans="1:4" ht="14.25" customHeight="1" x14ac:dyDescent="0.3">
      <c r="A2358" s="1" t="s">
        <v>2499</v>
      </c>
      <c r="B2358" s="1" t="str">
        <f ca="1">IFERROR(__xludf.DUMMYFUNCTION("GOOGLETRANSLATE(A2358, ""en"", ""fr"")"),"Inactions")</f>
        <v>Inactions</v>
      </c>
      <c r="D2358" s="1" t="s">
        <v>4963</v>
      </c>
    </row>
    <row r="2359" spans="1:4" ht="14.25" customHeight="1" x14ac:dyDescent="0.3">
      <c r="A2359" s="1" t="s">
        <v>2500</v>
      </c>
      <c r="B2359" s="1" t="str">
        <f ca="1">IFERROR(__xludf.DUMMYFUNCTION("GOOGLETRANSLATE(A2359, ""en"", ""fr"")"),"Inactiver")</f>
        <v>Inactiver</v>
      </c>
      <c r="D2359" s="1" t="s">
        <v>4963</v>
      </c>
    </row>
    <row r="2360" spans="1:4" ht="14.25" customHeight="1" x14ac:dyDescent="0.3">
      <c r="A2360" s="1" t="s">
        <v>2501</v>
      </c>
      <c r="B2360" s="1" t="str">
        <f ca="1">IFERROR(__xludf.DUMMYFUNCTION("GOOGLETRANSLATE(A2360, ""en"", ""fr"")"),"Inactivé")</f>
        <v>Inactivé</v>
      </c>
      <c r="D2360" s="1" t="s">
        <v>4963</v>
      </c>
    </row>
    <row r="2361" spans="1:4" ht="14.25" customHeight="1" x14ac:dyDescent="0.3">
      <c r="A2361" s="1" t="s">
        <v>2502</v>
      </c>
      <c r="B2361" s="1" t="str">
        <f ca="1">IFERROR(__xludf.DUMMYFUNCTION("GOOGLETRANSLATE(A2361, ""en"", ""fr"")"),"Inactiver")</f>
        <v>Inactiver</v>
      </c>
      <c r="D2361" s="1" t="s">
        <v>4963</v>
      </c>
    </row>
    <row r="2362" spans="1:4" ht="14.25" customHeight="1" x14ac:dyDescent="0.3">
      <c r="A2362" s="1" t="s">
        <v>2503</v>
      </c>
      <c r="B2362" s="1" t="str">
        <f ca="1">IFERROR(__xludf.DUMMYFUNCTION("GOOGLETRANSLATE(A2362, ""en"", ""fr"")"),"Inactiver")</f>
        <v>Inactiver</v>
      </c>
      <c r="D2362" s="1" t="s">
        <v>4963</v>
      </c>
    </row>
    <row r="2363" spans="1:4" ht="14.25" customHeight="1" x14ac:dyDescent="0.3">
      <c r="A2363" s="1" t="s">
        <v>2504</v>
      </c>
      <c r="B2363" s="1" t="str">
        <f ca="1">IFERROR(__xludf.DUMMYFUNCTION("GOOGLETRANSLATE(A2363, ""en"", ""fr"")"),"Inactivation")</f>
        <v>Inactivation</v>
      </c>
      <c r="D2363" s="1" t="s">
        <v>4963</v>
      </c>
    </row>
    <row r="2364" spans="1:4" ht="14.25" customHeight="1" x14ac:dyDescent="0.3">
      <c r="A2364" s="1" t="s">
        <v>2505</v>
      </c>
      <c r="B2364" s="1" t="str">
        <f ca="1">IFERROR(__xludf.DUMMYFUNCTION("GOOGLETRANSLATE(A2364, ""en"", ""fr"")"),"Inactivations")</f>
        <v>Inactivations</v>
      </c>
      <c r="D2364" s="1" t="s">
        <v>4963</v>
      </c>
    </row>
    <row r="2365" spans="1:4" ht="14.25" customHeight="1" x14ac:dyDescent="0.3">
      <c r="A2365" s="1" t="s">
        <v>2506</v>
      </c>
      <c r="B2365" s="1" t="str">
        <f ca="1">IFERROR(__xludf.DUMMYFUNCTION("GOOGLETRANSLATE(A2365, ""en"", ""fr"")"),"INACTIVITÉ")</f>
        <v>INACTIVITÉ</v>
      </c>
      <c r="D2365" s="1" t="s">
        <v>4963</v>
      </c>
    </row>
    <row r="2366" spans="1:4" ht="14.25" customHeight="1" x14ac:dyDescent="0.3">
      <c r="A2366" s="1" t="s">
        <v>2507</v>
      </c>
      <c r="B2366" s="1" t="str">
        <f ca="1">IFERROR(__xludf.DUMMYFUNCTION("GOOGLETRANSLATE(A2366, ""en"", ""fr"")"),"Insuffisance")</f>
        <v>Insuffisance</v>
      </c>
      <c r="D2366" s="1" t="s">
        <v>4963</v>
      </c>
    </row>
    <row r="2367" spans="1:4" ht="14.25" customHeight="1" x14ac:dyDescent="0.3">
      <c r="A2367" s="1" t="s">
        <v>2508</v>
      </c>
      <c r="B2367" s="1" t="str">
        <f ca="1">IFERROR(__xludf.DUMMYFUNCTION("GOOGLETRANSLATE(A2367, ""en"", ""fr"")"),"INSUFFISANCE")</f>
        <v>INSUFFISANCE</v>
      </c>
      <c r="D2367" s="1" t="s">
        <v>4963</v>
      </c>
    </row>
    <row r="2368" spans="1:4" ht="14.25" customHeight="1" x14ac:dyDescent="0.3">
      <c r="A2368" s="1" t="s">
        <v>2509</v>
      </c>
      <c r="B2368" s="1" t="str">
        <f ca="1">IFERROR(__xludf.DUMMYFUNCTION("GOOGLETRANSLATE(A2368, ""en"", ""fr"")"),"INADÉQUAT")</f>
        <v>INADÉQUAT</v>
      </c>
      <c r="D2368" s="1" t="s">
        <v>4963</v>
      </c>
    </row>
    <row r="2369" spans="1:13" ht="14.25" customHeight="1" x14ac:dyDescent="0.3">
      <c r="A2369" s="1" t="s">
        <v>2510</v>
      </c>
      <c r="B2369" s="1" t="str">
        <f ca="1">IFERROR(__xludf.DUMMYFUNCTION("GOOGLETRANSLATE(A2369, ""en"", ""fr"")"),"Insuffisamment")</f>
        <v>Insuffisamment</v>
      </c>
      <c r="D2369" s="1" t="s">
        <v>4963</v>
      </c>
    </row>
    <row r="2370" spans="1:13" ht="14.25" customHeight="1" x14ac:dyDescent="0.3">
      <c r="A2370" s="1" t="s">
        <v>2511</v>
      </c>
      <c r="B2370" s="1" t="str">
        <f ca="1">IFERROR(__xludf.DUMMYFUNCTION("GOOGLETRANSLATE(A2370, ""en"", ""fr"")"),"INVOLONTAIRE")</f>
        <v>INVOLONTAIRE</v>
      </c>
      <c r="D2370" s="1" t="s">
        <v>4963</v>
      </c>
    </row>
    <row r="2371" spans="1:13" ht="14.25" customHeight="1" x14ac:dyDescent="0.3">
      <c r="A2371" s="1" t="s">
        <v>2512</v>
      </c>
      <c r="B2371" s="1" t="str">
        <f ca="1">IFERROR(__xludf.DUMMYFUNCTION("GOOGLETRANSLATE(A2371, ""en"", ""fr"")"),"Par inadvertance")</f>
        <v>Par inadvertance</v>
      </c>
      <c r="D2371" s="1" t="s">
        <v>4963</v>
      </c>
    </row>
    <row r="2372" spans="1:13" ht="14.25" customHeight="1" x14ac:dyDescent="0.3">
      <c r="A2372" s="1" t="s">
        <v>2513</v>
      </c>
      <c r="B2372" s="1" t="str">
        <f ca="1">IFERROR(__xludf.DUMMYFUNCTION("GOOGLETRANSLATE(A2372, ""en"", ""fr"")"),"Inadmissibilité")</f>
        <v>Inadmissibilité</v>
      </c>
      <c r="D2372" s="1" t="s">
        <v>4963</v>
      </c>
    </row>
    <row r="2373" spans="1:13" ht="14.25" customHeight="1" x14ac:dyDescent="0.3">
      <c r="A2373" s="1" t="s">
        <v>2514</v>
      </c>
      <c r="B2373" s="1" t="str">
        <f ca="1">IFERROR(__xludf.DUMMYFUNCTION("GOOGLETRANSLATE(A2373, ""en"", ""fr"")"),"Déconseillé")</f>
        <v>Déconseillé</v>
      </c>
      <c r="D2373" s="1" t="s">
        <v>4963</v>
      </c>
    </row>
    <row r="2374" spans="1:13" ht="14.25" customHeight="1" x14ac:dyDescent="0.3">
      <c r="A2374" s="1" t="s">
        <v>2515</v>
      </c>
      <c r="B2374" s="1" t="str">
        <f ca="1">IFERROR(__xludf.DUMMYFUNCTION("GOOGLETRANSLATE(A2374, ""en"", ""fr"")"),"INAPPLICABLE")</f>
        <v>INAPPLICABLE</v>
      </c>
      <c r="D2374" s="1" t="s">
        <v>4963</v>
      </c>
    </row>
    <row r="2375" spans="1:13" ht="14.25" customHeight="1" x14ac:dyDescent="0.3">
      <c r="A2375" s="1" t="s">
        <v>2516</v>
      </c>
      <c r="B2375" s="1" t="str">
        <f ca="1">IFERROR(__xludf.DUMMYFUNCTION("GOOGLETRANSLATE(A2375, ""en"", ""fr"")"),"INAPPROPRIÉ")</f>
        <v>INAPPROPRIÉ</v>
      </c>
      <c r="D2375" s="1" t="s">
        <v>4963</v>
      </c>
    </row>
    <row r="2376" spans="1:13" ht="14.25" customHeight="1" x14ac:dyDescent="0.3">
      <c r="A2376" s="1" t="s">
        <v>2517</v>
      </c>
      <c r="B2376" s="1" t="str">
        <f ca="1">IFERROR(__xludf.DUMMYFUNCTION("GOOGLETRANSLATE(A2376, ""en"", ""fr"")"),"De manière inappropriée")</f>
        <v>De manière inappropriée</v>
      </c>
      <c r="D2376" s="1" t="s">
        <v>4963</v>
      </c>
    </row>
    <row r="2377" spans="1:13" ht="14.25" customHeight="1" x14ac:dyDescent="0.3">
      <c r="A2377" s="1" t="s">
        <v>2518</v>
      </c>
      <c r="B2377" s="1" t="str">
        <f ca="1">IFERROR(__xludf.DUMMYFUNCTION("GOOGLETRANSLATE(A2377, ""en"", ""fr"")"),"INATTENTION")</f>
        <v>INATTENTION</v>
      </c>
      <c r="D2377" s="1" t="s">
        <v>4963</v>
      </c>
    </row>
    <row r="2378" spans="1:13" ht="14.25" customHeight="1" x14ac:dyDescent="0.3">
      <c r="A2378" s="1" t="s">
        <v>2519</v>
      </c>
      <c r="B2378" s="1" t="str">
        <f ca="1">IFERROR(__xludf.DUMMYFUNCTION("GOOGLETRANSLATE(A2378, ""en"", ""fr"")"),"système de liaison")</f>
        <v>système de liaison</v>
      </c>
      <c r="M2378" s="1" t="s">
        <v>10</v>
      </c>
    </row>
    <row r="2379" spans="1:13" ht="14.25" customHeight="1" x14ac:dyDescent="0.3">
      <c r="A2379" s="1" t="s">
        <v>2520</v>
      </c>
      <c r="B2379" s="1" t="str">
        <f ca="1">IFERROR(__xludf.DUMMYFUNCTION("GOOGLETRANSLATE(A2379, ""en"", ""fr"")"),"INCAPABLE")</f>
        <v>INCAPABLE</v>
      </c>
      <c r="D2379" s="1" t="s">
        <v>4963</v>
      </c>
    </row>
    <row r="2380" spans="1:13" ht="14.25" customHeight="1" x14ac:dyDescent="0.3">
      <c r="A2380" s="1" t="s">
        <v>2521</v>
      </c>
      <c r="B2380" s="1" t="str">
        <f ca="1">IFERROR(__xludf.DUMMYFUNCTION("GOOGLETRANSLATE(A2380, ""en"", ""fr"")"),"INCAPABLE")</f>
        <v>INCAPABLE</v>
      </c>
      <c r="D2380" s="1" t="s">
        <v>4963</v>
      </c>
    </row>
    <row r="2381" spans="1:13" ht="14.25" customHeight="1" x14ac:dyDescent="0.3">
      <c r="A2381" s="1" t="s">
        <v>2522</v>
      </c>
      <c r="B2381" s="1" t="str">
        <f ca="1">IFERROR(__xludf.DUMMYFUNCTION("GOOGLETRANSLATE(A2381, ""en"", ""fr"")"),"INCAPACITÉ")</f>
        <v>INCAPACITÉ</v>
      </c>
      <c r="D2381" s="1" t="s">
        <v>4963</v>
      </c>
    </row>
    <row r="2382" spans="1:13" ht="14.25" customHeight="1" x14ac:dyDescent="0.3">
      <c r="A2382" s="1" t="s">
        <v>2523</v>
      </c>
      <c r="B2382" s="1" t="str">
        <f ca="1">IFERROR(__xludf.DUMMYFUNCTION("GOOGLETRANSLATE(A2382, ""en"", ""fr"")"),"INCARCÉRER")</f>
        <v>INCARCÉRER</v>
      </c>
      <c r="D2382" s="1" t="s">
        <v>4963</v>
      </c>
    </row>
    <row r="2383" spans="1:13" ht="14.25" customHeight="1" x14ac:dyDescent="0.3">
      <c r="A2383" s="1" t="s">
        <v>2524</v>
      </c>
      <c r="B2383" s="1" t="str">
        <f ca="1">IFERROR(__xludf.DUMMYFUNCTION("GOOGLETRANSLATE(A2383, ""en"", ""fr"")"),"Incarcéré")</f>
        <v>Incarcéré</v>
      </c>
      <c r="D2383" s="1" t="s">
        <v>4963</v>
      </c>
    </row>
    <row r="2384" spans="1:13" ht="14.25" customHeight="1" x14ac:dyDescent="0.3">
      <c r="A2384" s="1" t="s">
        <v>2525</v>
      </c>
      <c r="B2384" s="1" t="str">
        <f ca="1">IFERROR(__xludf.DUMMYFUNCTION("GOOGLETRANSLATE(A2384, ""en"", ""fr"")"),"Incarcérer")</f>
        <v>Incarcérer</v>
      </c>
      <c r="D2384" s="1" t="s">
        <v>4963</v>
      </c>
    </row>
    <row r="2385" spans="1:96" ht="14.25" customHeight="1" x14ac:dyDescent="0.3">
      <c r="A2385" s="1" t="s">
        <v>2526</v>
      </c>
      <c r="B2385" s="1" t="str">
        <f ca="1">IFERROR(__xludf.DUMMYFUNCTION("GOOGLETRANSLATE(A2385, ""en"", ""fr"")"),"Incarcération")</f>
        <v>Incarcération</v>
      </c>
      <c r="D2385" s="1" t="s">
        <v>4963</v>
      </c>
    </row>
    <row r="2386" spans="1:96" ht="14.25" customHeight="1" x14ac:dyDescent="0.3">
      <c r="A2386" s="1" t="s">
        <v>2527</v>
      </c>
      <c r="B2386" s="1" t="str">
        <f ca="1">IFERROR(__xludf.DUMMYFUNCTION("GOOGLETRANSLATE(A2386, ""en"", ""fr"")"),"INCARCÉRATION")</f>
        <v>INCARCÉRATION</v>
      </c>
      <c r="D2386" s="1" t="s">
        <v>4963</v>
      </c>
    </row>
    <row r="2387" spans="1:96" ht="14.25" customHeight="1" x14ac:dyDescent="0.3">
      <c r="A2387" s="1" t="s">
        <v>2528</v>
      </c>
      <c r="B2387" s="1" t="str">
        <f ca="1">IFERROR(__xludf.DUMMYFUNCTION("GOOGLETRANSLATE(A2387, ""en"", ""fr"")"),"Incarcérations")</f>
        <v>Incarcérations</v>
      </c>
      <c r="D2387" s="1" t="s">
        <v>4963</v>
      </c>
    </row>
    <row r="2388" spans="1:96" ht="14.25" customHeight="1" x14ac:dyDescent="0.3">
      <c r="A2388" s="1" t="s">
        <v>2529</v>
      </c>
      <c r="B2388" s="1" t="str">
        <f ca="1">IFERROR(__xludf.DUMMYFUNCTION("GOOGLETRANSLATE(A2388, ""en"", ""fr"")"),"INCIDENCE")</f>
        <v>INCIDENCE</v>
      </c>
      <c r="D2388" s="1" t="s">
        <v>4963</v>
      </c>
    </row>
    <row r="2389" spans="1:96" ht="14.25" customHeight="1" x14ac:dyDescent="0.3">
      <c r="A2389" s="1" t="s">
        <v>2530</v>
      </c>
      <c r="B2389" s="1" t="str">
        <f ca="1">IFERROR(__xludf.DUMMYFUNCTION("GOOGLETRANSLATE(A2389, ""en"", ""fr"")"),"Incidences")</f>
        <v>Incidences</v>
      </c>
      <c r="D2389" s="1" t="s">
        <v>4963</v>
      </c>
    </row>
    <row r="2390" spans="1:96" ht="14.25" customHeight="1" x14ac:dyDescent="0.3">
      <c r="A2390" s="1" t="s">
        <v>2531</v>
      </c>
      <c r="B2390" s="1" t="str">
        <f ca="1">IFERROR(__xludf.DUMMYFUNCTION("GOOGLETRANSLATE(A2390, ""en"", ""fr"")"),"INCIDENT")</f>
        <v>INCIDENT</v>
      </c>
      <c r="D2390" s="1" t="s">
        <v>4963</v>
      </c>
    </row>
    <row r="2391" spans="1:96" ht="14.25" customHeight="1" x14ac:dyDescent="0.3">
      <c r="A2391" s="1" t="s">
        <v>2532</v>
      </c>
      <c r="B2391" s="1" t="str">
        <f ca="1">IFERROR(__xludf.DUMMYFUNCTION("GOOGLETRANSLATE(A2391, ""en"", ""fr"")"),"Incidents")</f>
        <v>Incidents</v>
      </c>
      <c r="D2391" s="1" t="s">
        <v>4963</v>
      </c>
    </row>
    <row r="2392" spans="1:96" ht="14.25" customHeight="1" x14ac:dyDescent="0.3">
      <c r="A2392" s="1" t="s">
        <v>2533</v>
      </c>
      <c r="B2392" s="1" t="str">
        <f ca="1">IFERROR(__xludf.DUMMYFUNCTION("GOOGLETRANSLATE(A2392, ""en"", ""fr"")"),"revenu")</f>
        <v>revenu</v>
      </c>
      <c r="CR2392" s="1" t="s">
        <v>93</v>
      </c>
    </row>
    <row r="2393" spans="1:96" ht="14.25" customHeight="1" x14ac:dyDescent="0.3">
      <c r="A2393" s="1" t="s">
        <v>2534</v>
      </c>
      <c r="B2393" s="1" t="str">
        <f ca="1">IFERROR(__xludf.DUMMYFUNCTION("GOOGLETRANSLATE(A2393, ""en"", ""fr"")"),"la répartition des revenus")</f>
        <v>la répartition des revenus</v>
      </c>
      <c r="M2393" s="1" t="s">
        <v>10</v>
      </c>
    </row>
    <row r="2394" spans="1:96" ht="14.25" customHeight="1" x14ac:dyDescent="0.3">
      <c r="A2394" s="1" t="s">
        <v>2535</v>
      </c>
      <c r="B2394" s="1" t="str">
        <f ca="1">IFERROR(__xludf.DUMMYFUNCTION("GOOGLETRANSLATE(A2394, ""en"", ""fr"")"),"releve de revenue")</f>
        <v>releve de revenue</v>
      </c>
      <c r="CR2394" s="1" t="s">
        <v>93</v>
      </c>
    </row>
    <row r="2395" spans="1:96" ht="14.25" customHeight="1" x14ac:dyDescent="0.3">
      <c r="A2395" s="1" t="s">
        <v>2536</v>
      </c>
      <c r="B2395" s="1" t="str">
        <f ca="1">IFERROR(__xludf.DUMMYFUNCTION("GOOGLETRANSLATE(A2395, ""en"", ""fr"")"),"impôt sur le revenu")</f>
        <v>impôt sur le revenu</v>
      </c>
      <c r="CR2395" s="1" t="s">
        <v>93</v>
      </c>
    </row>
    <row r="2396" spans="1:96" ht="14.25" customHeight="1" x14ac:dyDescent="0.3">
      <c r="A2396" s="1" t="s">
        <v>2537</v>
      </c>
      <c r="B2396" s="1" t="str">
        <f ca="1">IFERROR(__xludf.DUMMYFUNCTION("GOOGLETRANSLATE(A2396, ""en"", ""fr"")"),"Incompatibilités")</f>
        <v>Incompatibilités</v>
      </c>
      <c r="D2396" s="1" t="s">
        <v>4963</v>
      </c>
    </row>
    <row r="2397" spans="1:96" ht="14.25" customHeight="1" x14ac:dyDescent="0.3">
      <c r="A2397" s="1" t="s">
        <v>2538</v>
      </c>
      <c r="B2397" s="1" t="str">
        <f ca="1">IFERROR(__xludf.DUMMYFUNCTION("GOOGLETRANSLATE(A2397, ""en"", ""fr"")"),"INCOMPATIBILITÉ")</f>
        <v>INCOMPATIBILITÉ</v>
      </c>
      <c r="D2397" s="1" t="s">
        <v>4963</v>
      </c>
    </row>
    <row r="2398" spans="1:96" ht="14.25" customHeight="1" x14ac:dyDescent="0.3">
      <c r="A2398" s="1" t="s">
        <v>2539</v>
      </c>
      <c r="B2398" s="1" t="str">
        <f ca="1">IFERROR(__xludf.DUMMYFUNCTION("GOOGLETRANSLATE(A2398, ""en"", ""fr"")"),"INCOMPATIBLE")</f>
        <v>INCOMPATIBLE</v>
      </c>
      <c r="D2398" s="1" t="s">
        <v>4963</v>
      </c>
    </row>
    <row r="2399" spans="1:96" ht="14.25" customHeight="1" x14ac:dyDescent="0.3">
      <c r="A2399" s="1" t="s">
        <v>2540</v>
      </c>
      <c r="B2399" s="1" t="str">
        <f ca="1">IFERROR(__xludf.DUMMYFUNCTION("GOOGLETRANSLATE(A2399, ""en"", ""fr"")"),"INCOMPÉTENCE")</f>
        <v>INCOMPÉTENCE</v>
      </c>
      <c r="D2399" s="1" t="s">
        <v>4963</v>
      </c>
    </row>
    <row r="2400" spans="1:96" ht="14.25" customHeight="1" x14ac:dyDescent="0.3">
      <c r="A2400" s="1" t="s">
        <v>2541</v>
      </c>
      <c r="B2400" s="1" t="str">
        <f ca="1">IFERROR(__xludf.DUMMYFUNCTION("GOOGLETRANSLATE(A2400, ""en"", ""fr"")"),"Incompétence")</f>
        <v>Incompétence</v>
      </c>
      <c r="D2400" s="1" t="s">
        <v>4963</v>
      </c>
    </row>
    <row r="2401" spans="1:13" ht="14.25" customHeight="1" x14ac:dyDescent="0.3">
      <c r="A2401" s="1" t="s">
        <v>2542</v>
      </c>
      <c r="B2401" s="1" t="str">
        <f ca="1">IFERROR(__xludf.DUMMYFUNCTION("GOOGLETRANSLATE(A2401, ""en"", ""fr"")"),"INCOMPÉTENT")</f>
        <v>INCOMPÉTENT</v>
      </c>
      <c r="D2401" s="1" t="s">
        <v>4963</v>
      </c>
    </row>
    <row r="2402" spans="1:13" ht="14.25" customHeight="1" x14ac:dyDescent="0.3">
      <c r="A2402" s="1" t="s">
        <v>2543</v>
      </c>
      <c r="B2402" s="1" t="str">
        <f ca="1">IFERROR(__xludf.DUMMYFUNCTION("GOOGLETRANSLATE(A2402, ""en"", ""fr"")"),"Par incompétence")</f>
        <v>Par incompétence</v>
      </c>
      <c r="D2402" s="1" t="s">
        <v>4963</v>
      </c>
    </row>
    <row r="2403" spans="1:13" ht="14.25" customHeight="1" x14ac:dyDescent="0.3">
      <c r="A2403" s="1" t="s">
        <v>2544</v>
      </c>
      <c r="B2403" s="1" t="str">
        <f ca="1">IFERROR(__xludf.DUMMYFUNCTION("GOOGLETRANSLATE(A2403, ""en"", ""fr"")"),"Incompétents")</f>
        <v>Incompétents</v>
      </c>
      <c r="D2403" s="1" t="s">
        <v>4963</v>
      </c>
    </row>
    <row r="2404" spans="1:13" ht="14.25" customHeight="1" x14ac:dyDescent="0.3">
      <c r="A2404" s="1" t="s">
        <v>2545</v>
      </c>
      <c r="B2404" s="1" t="str">
        <f ca="1">IFERROR(__xludf.DUMMYFUNCTION("GOOGLETRANSLATE(A2404, ""en"", ""fr"")"),"INCOMPLET")</f>
        <v>INCOMPLET</v>
      </c>
      <c r="D2404" s="1" t="s">
        <v>4963</v>
      </c>
    </row>
    <row r="2405" spans="1:13" ht="14.25" customHeight="1" x14ac:dyDescent="0.3">
      <c r="A2405" s="1" t="s">
        <v>2546</v>
      </c>
      <c r="B2405" s="1" t="str">
        <f ca="1">IFERROR(__xludf.DUMMYFUNCTION("GOOGLETRANSLATE(A2405, ""en"", ""fr"")"),"Incomplètement")</f>
        <v>Incomplètement</v>
      </c>
      <c r="D2405" s="1" t="s">
        <v>4963</v>
      </c>
    </row>
    <row r="2406" spans="1:13" ht="14.25" customHeight="1" x14ac:dyDescent="0.3">
      <c r="A2406" s="1" t="s">
        <v>2547</v>
      </c>
      <c r="B2406" s="1" t="str">
        <f ca="1">IFERROR(__xludf.DUMMYFUNCTION("GOOGLETRANSLATE(A2406, ""en"", ""fr"")"),"Incomplétude")</f>
        <v>Incomplétude</v>
      </c>
      <c r="D2406" s="1" t="s">
        <v>4963</v>
      </c>
    </row>
    <row r="2407" spans="1:13" ht="14.25" customHeight="1" x14ac:dyDescent="0.3">
      <c r="A2407" s="1" t="s">
        <v>2548</v>
      </c>
      <c r="B2407" s="1" t="str">
        <f ca="1">IFERROR(__xludf.DUMMYFUNCTION("GOOGLETRANSLATE(A2407, ""en"", ""fr"")"),"Peu concluant")</f>
        <v>Peu concluant</v>
      </c>
      <c r="D2407" s="1" t="s">
        <v>4963</v>
      </c>
    </row>
    <row r="2408" spans="1:13" ht="14.25" customHeight="1" x14ac:dyDescent="0.3">
      <c r="A2408" s="1" t="s">
        <v>2549</v>
      </c>
      <c r="B2408" s="1" t="str">
        <f ca="1">IFERROR(__xludf.DUMMYFUNCTION("GOOGLETRANSLATE(A2408, ""en"", ""fr"")"),"Incohérences")</f>
        <v>Incohérences</v>
      </c>
      <c r="D2408" s="1" t="s">
        <v>4963</v>
      </c>
    </row>
    <row r="2409" spans="1:13" ht="14.25" customHeight="1" x14ac:dyDescent="0.3">
      <c r="A2409" s="1" t="s">
        <v>2550</v>
      </c>
      <c r="B2409" s="1" t="str">
        <f ca="1">IFERROR(__xludf.DUMMYFUNCTION("GOOGLETRANSLATE(A2409, ""en"", ""fr"")"),"INCOHÉRENCE")</f>
        <v>INCOHÉRENCE</v>
      </c>
      <c r="D2409" s="1" t="s">
        <v>4963</v>
      </c>
    </row>
    <row r="2410" spans="1:13" ht="14.25" customHeight="1" x14ac:dyDescent="0.3">
      <c r="A2410" s="1" t="s">
        <v>2551</v>
      </c>
      <c r="B2410" s="1" t="str">
        <f ca="1">IFERROR(__xludf.DUMMYFUNCTION("GOOGLETRANSLATE(A2410, ""en"", ""fr"")"),"INCONSISTANT")</f>
        <v>INCONSISTANT</v>
      </c>
      <c r="D2410" s="1" t="s">
        <v>4963</v>
      </c>
    </row>
    <row r="2411" spans="1:13" ht="14.25" customHeight="1" x14ac:dyDescent="0.3">
      <c r="A2411" s="1" t="s">
        <v>2552</v>
      </c>
      <c r="B2411" s="1" t="str">
        <f ca="1">IFERROR(__xludf.DUMMYFUNCTION("GOOGLETRANSLATE(A2411, ""en"", ""fr"")"),"De manière incohérente")</f>
        <v>De manière incohérente</v>
      </c>
      <c r="D2411" s="1" t="s">
        <v>4963</v>
      </c>
    </row>
    <row r="2412" spans="1:13" ht="14.25" customHeight="1" x14ac:dyDescent="0.3">
      <c r="A2412" s="1" t="s">
        <v>2553</v>
      </c>
      <c r="B2412" s="1" t="str">
        <f ca="1">IFERROR(__xludf.DUMMYFUNCTION("GOOGLETRANSLATE(A2412, ""en"", ""fr"")"),"DÉSAGRÉMENT")</f>
        <v>DÉSAGRÉMENT</v>
      </c>
      <c r="D2412" s="1" t="s">
        <v>4963</v>
      </c>
    </row>
    <row r="2413" spans="1:13" ht="14.25" customHeight="1" x14ac:dyDescent="0.3">
      <c r="A2413" s="1" t="s">
        <v>2554</v>
      </c>
      <c r="B2413" s="1" t="str">
        <f ca="1">IFERROR(__xludf.DUMMYFUNCTION("GOOGLETRANSLATE(A2413, ""en"", ""fr"")"),"Inconvénients")</f>
        <v>Inconvénients</v>
      </c>
      <c r="D2413" s="1" t="s">
        <v>4963</v>
      </c>
    </row>
    <row r="2414" spans="1:13" ht="14.25" customHeight="1" x14ac:dyDescent="0.3">
      <c r="A2414" s="1" t="s">
        <v>2555</v>
      </c>
      <c r="B2414" s="1" t="str">
        <f ca="1">IFERROR(__xludf.DUMMYFUNCTION("GOOGLETRANSLATE(A2414, ""en"", ""fr"")"),"INCOMMODE")</f>
        <v>INCOMMODE</v>
      </c>
      <c r="D2414" s="1" t="s">
        <v>4963</v>
      </c>
    </row>
    <row r="2415" spans="1:13" ht="14.25" customHeight="1" x14ac:dyDescent="0.3">
      <c r="A2415" s="1" t="s">
        <v>2556</v>
      </c>
      <c r="B2415" s="1" t="str">
        <f ca="1">IFERROR(__xludf.DUMMYFUNCTION("GOOGLETRANSLATE(A2415, ""en"", ""fr"")"),"monnaie inconvertible")</f>
        <v>monnaie inconvertible</v>
      </c>
      <c r="M2415" s="1" t="s">
        <v>10</v>
      </c>
    </row>
    <row r="2416" spans="1:13" ht="14.25" customHeight="1" x14ac:dyDescent="0.3">
      <c r="A2416" s="1" t="s">
        <v>2557</v>
      </c>
      <c r="B2416" s="1" t="str">
        <f ca="1">IFERROR(__xludf.DUMMYFUNCTION("GOOGLETRANSLATE(A2416, ""en"", ""fr"")"),"INCORRECT")</f>
        <v>INCORRECT</v>
      </c>
      <c r="D2416" s="1" t="s">
        <v>4963</v>
      </c>
    </row>
    <row r="2417" spans="1:141" ht="14.25" customHeight="1" x14ac:dyDescent="0.3">
      <c r="A2417" s="1" t="s">
        <v>2558</v>
      </c>
      <c r="B2417" s="1" t="str">
        <f ca="1">IFERROR(__xludf.DUMMYFUNCTION("GOOGLETRANSLATE(A2417, ""en"", ""fr"")"),"INCORRECTEMENT")</f>
        <v>INCORRECTEMENT</v>
      </c>
      <c r="D2417" s="1" t="s">
        <v>4963</v>
      </c>
    </row>
    <row r="2418" spans="1:141" ht="14.25" customHeight="1" x14ac:dyDescent="0.3">
      <c r="A2418" s="1" t="s">
        <v>2559</v>
      </c>
      <c r="B2418" s="1" t="str">
        <f ca="1">IFERROR(__xludf.DUMMYFUNCTION("GOOGLETRANSLATE(A2418, ""en"", ""fr"")"),"Incorrection")</f>
        <v>Incorrection</v>
      </c>
      <c r="D2418" s="1" t="s">
        <v>4963</v>
      </c>
    </row>
    <row r="2419" spans="1:141" ht="14.25" customHeight="1" x14ac:dyDescent="0.3">
      <c r="A2419" s="1" t="s">
        <v>2560</v>
      </c>
      <c r="B2419" s="1" t="str">
        <f ca="1">IFERROR(__xludf.DUMMYFUNCTION("GOOGLETRANSLATE(A2419, ""en"", ""fr"")"),"INCROYABLE")</f>
        <v>INCROYABLE</v>
      </c>
      <c r="H2419" s="1" t="s">
        <v>4964</v>
      </c>
    </row>
    <row r="2420" spans="1:141" ht="14.25" customHeight="1" x14ac:dyDescent="0.3">
      <c r="A2420" s="1" t="s">
        <v>2561</v>
      </c>
      <c r="B2420" s="1" t="str">
        <f ca="1">IFERROR(__xludf.DUMMYFUNCTION("GOOGLETRANSLATE(A2420, ""en"", ""fr"")"),"Incroyablement")</f>
        <v>Incroyablement</v>
      </c>
      <c r="H2420" s="1" t="s">
        <v>4964</v>
      </c>
    </row>
    <row r="2421" spans="1:141" ht="14.25" customHeight="1" x14ac:dyDescent="0.3">
      <c r="A2421" s="1" t="s">
        <v>2562</v>
      </c>
      <c r="B2421" s="1" t="str">
        <f ca="1">IFERROR(__xludf.DUMMYFUNCTION("GOOGLETRANSLATE(A2421, ""en"", ""fr"")"),"analyse progressive")</f>
        <v>analyse progressive</v>
      </c>
      <c r="M2421" s="1" t="s">
        <v>10</v>
      </c>
    </row>
    <row r="2422" spans="1:141" ht="14.25" customHeight="1" x14ac:dyDescent="0.3">
      <c r="A2422" s="1" t="s">
        <v>2563</v>
      </c>
      <c r="B2422" s="1" t="str">
        <f ca="1">IFERROR(__xludf.DUMMYFUNCTION("GOOGLETRANSLATE(A2422, ""en"", ""fr"")"),"Ratio de production de capital incrémentiel")</f>
        <v>Ratio de production de capital incrémentiel</v>
      </c>
      <c r="M2422" s="1" t="s">
        <v>10</v>
      </c>
    </row>
    <row r="2423" spans="1:141" ht="14.25" customHeight="1" x14ac:dyDescent="0.3">
      <c r="A2423" s="1" t="s">
        <v>2564</v>
      </c>
      <c r="B2423" s="1" t="str">
        <f ca="1">IFERROR(__xludf.DUMMYFUNCTION("GOOGLETRANSLATE(A2423, ""en"", ""fr"")"),"INDÉCENCE")</f>
        <v>INDÉCENCE</v>
      </c>
      <c r="D2423" s="1" t="s">
        <v>4963</v>
      </c>
    </row>
    <row r="2424" spans="1:141" ht="14.25" customHeight="1" x14ac:dyDescent="0.3">
      <c r="A2424" s="1" t="s">
        <v>2565</v>
      </c>
      <c r="B2424" s="1" t="str">
        <f ca="1">IFERROR(__xludf.DUMMYFUNCTION("GOOGLETRANSLATE(A2424, ""en"", ""fr"")"),"INDÉCENT")</f>
        <v>INDÉCENT</v>
      </c>
      <c r="D2424" s="1" t="s">
        <v>4963</v>
      </c>
    </row>
    <row r="2425" spans="1:141" ht="14.25" customHeight="1" x14ac:dyDescent="0.3">
      <c r="A2425" s="1" t="s">
        <v>2566</v>
      </c>
      <c r="B2425" s="1" t="str">
        <f ca="1">IFERROR(__xludf.DUMMYFUNCTION("GOOGLETRANSLATE(A2425, ""en"", ""fr"")"),"Indéfectible")</f>
        <v>Indéfectible</v>
      </c>
      <c r="D2425" s="1" t="s">
        <v>4963</v>
      </c>
    </row>
    <row r="2426" spans="1:141" ht="14.25" customHeight="1" x14ac:dyDescent="0.3">
      <c r="A2426" s="1" t="s">
        <v>2567</v>
      </c>
      <c r="B2426" s="1" t="str">
        <f ca="1">IFERROR(__xludf.DUMMYFUNCTION("GOOGLETRANSLATE(A2426, ""en"", ""fr"")"),"De manière irréfutable")</f>
        <v>De manière irréfutable</v>
      </c>
      <c r="D2426" s="1" t="s">
        <v>4963</v>
      </c>
    </row>
    <row r="2427" spans="1:141" ht="14.25" customHeight="1" x14ac:dyDescent="0.3">
      <c r="A2427" s="1" t="s">
        <v>2568</v>
      </c>
      <c r="B2427" s="1" t="str">
        <f ca="1">IFERROR(__xludf.DUMMYFUNCTION("GOOGLETRANSLATE(A2427, ""en"", ""fr"")"),"indice")</f>
        <v>indice</v>
      </c>
      <c r="M2427" s="1" t="s">
        <v>10</v>
      </c>
    </row>
    <row r="2428" spans="1:141" ht="14.25" customHeight="1" x14ac:dyDescent="0.3">
      <c r="A2428" s="1" t="s">
        <v>2569</v>
      </c>
      <c r="B2428" s="1" t="str">
        <f ca="1">IFERROR(__xludf.DUMMYFUNCTION("GOOGLETRANSLATE(A2428, ""en"", ""fr"")"),"Indice de production industrielle")</f>
        <v>Indice de production industrielle</v>
      </c>
      <c r="M2428" s="1" t="s">
        <v>10</v>
      </c>
    </row>
    <row r="2429" spans="1:141" ht="14.25" customHeight="1" x14ac:dyDescent="0.3">
      <c r="A2429" s="1" t="s">
        <v>2570</v>
      </c>
      <c r="B2429" s="1" t="str">
        <f ca="1">IFERROR(__xludf.DUMMYFUNCTION("GOOGLETRANSLATE(A2429, ""en"", ""fr"")"),"Index des indicateurs principaux")</f>
        <v>Index des indicateurs principaux</v>
      </c>
      <c r="M2429" s="1" t="s">
        <v>10</v>
      </c>
    </row>
    <row r="2430" spans="1:141" ht="14.25" customHeight="1" x14ac:dyDescent="0.3">
      <c r="A2430" s="1" t="s">
        <v>2571</v>
      </c>
      <c r="B2430" s="1" t="str">
        <f ca="1">IFERROR(__xludf.DUMMYFUNCTION("GOOGLETRANSLATE(A2430, ""en"", ""fr"")"),"Inde")</f>
        <v>Inde</v>
      </c>
      <c r="X2430" s="1" t="s">
        <v>21</v>
      </c>
      <c r="CI2430" s="1" t="s">
        <v>84</v>
      </c>
      <c r="EK2430" s="1" t="s">
        <v>138</v>
      </c>
    </row>
    <row r="2431" spans="1:141" ht="14.25" customHeight="1" x14ac:dyDescent="0.3">
      <c r="A2431" s="1" t="s">
        <v>2572</v>
      </c>
      <c r="B2431" s="1" t="str">
        <f ca="1">IFERROR(__xludf.DUMMYFUNCTION("GOOGLETRANSLATE(A2431, ""en"", ""fr"")"),"huile indienne")</f>
        <v>huile indienne</v>
      </c>
      <c r="X2431" s="1" t="s">
        <v>21</v>
      </c>
      <c r="AM2431" s="1" t="s">
        <v>36</v>
      </c>
      <c r="CI2431" s="1" t="s">
        <v>84</v>
      </c>
      <c r="DT2431" s="1" t="s">
        <v>121</v>
      </c>
    </row>
    <row r="2432" spans="1:141" ht="14.25" customHeight="1" x14ac:dyDescent="0.3">
      <c r="A2432" s="1" t="s">
        <v>2573</v>
      </c>
      <c r="B2432" s="1" t="str">
        <f ca="1">IFERROR(__xludf.DUMMYFUNCTION("GOOGLETRANSLATE(A2432, ""en"", ""fr"")"),"indicateur")</f>
        <v>indicateur</v>
      </c>
      <c r="M2432" s="1" t="s">
        <v>10</v>
      </c>
    </row>
    <row r="2433" spans="1:141" ht="14.25" customHeight="1" x14ac:dyDescent="0.3">
      <c r="A2433" s="1" t="s">
        <v>2574</v>
      </c>
      <c r="B2433" s="1" t="str">
        <f ca="1">IFERROR(__xludf.DUMMYFUNCTION("GOOGLETRANSLATE(A2433, ""en"", ""fr"")"),"ACCUSER")</f>
        <v>ACCUSER</v>
      </c>
      <c r="D2433" s="1" t="s">
        <v>4963</v>
      </c>
    </row>
    <row r="2434" spans="1:141" ht="14.25" customHeight="1" x14ac:dyDescent="0.3">
      <c r="A2434" s="1" t="s">
        <v>2575</v>
      </c>
      <c r="B2434" s="1" t="str">
        <f ca="1">IFERROR(__xludf.DUMMYFUNCTION("GOOGLETRANSLATE(A2434, ""en"", ""fr"")"),"Inconsciente")</f>
        <v>Inconsciente</v>
      </c>
      <c r="D2434" s="1" t="s">
        <v>4963</v>
      </c>
    </row>
    <row r="2435" spans="1:141" ht="14.25" customHeight="1" x14ac:dyDescent="0.3">
      <c r="A2435" s="1" t="s">
        <v>2576</v>
      </c>
      <c r="B2435" s="1" t="str">
        <f ca="1">IFERROR(__xludf.DUMMYFUNCTION("GOOGLETRANSLATE(A2435, ""en"", ""fr"")"),"Inculpé")</f>
        <v>Inculpé</v>
      </c>
      <c r="D2435" s="1" t="s">
        <v>4963</v>
      </c>
    </row>
    <row r="2436" spans="1:141" ht="14.25" customHeight="1" x14ac:dyDescent="0.3">
      <c r="A2436" s="1" t="s">
        <v>2577</v>
      </c>
      <c r="B2436" s="1" t="str">
        <f ca="1">IFERROR(__xludf.DUMMYFUNCTION("GOOGLETRANSLATE(A2436, ""en"", ""fr"")"),"Indicatif")</f>
        <v>Indicatif</v>
      </c>
      <c r="D2436" s="1" t="s">
        <v>4963</v>
      </c>
    </row>
    <row r="2437" spans="1:141" ht="14.25" customHeight="1" x14ac:dyDescent="0.3">
      <c r="A2437" s="1" t="s">
        <v>2578</v>
      </c>
      <c r="B2437" s="1" t="str">
        <f ca="1">IFERROR(__xludf.DUMMYFUNCTION("GOOGLETRANSLATE(A2437, ""en"", ""fr"")"),"ACCUSATION")</f>
        <v>ACCUSATION</v>
      </c>
      <c r="D2437" s="1" t="s">
        <v>4963</v>
      </c>
    </row>
    <row r="2438" spans="1:141" ht="14.25" customHeight="1" x14ac:dyDescent="0.3">
      <c r="A2438" s="1" t="s">
        <v>2579</v>
      </c>
      <c r="B2438" s="1" t="str">
        <f ca="1">IFERROR(__xludf.DUMMYFUNCTION("GOOGLETRANSLATE(A2438, ""en"", ""fr"")"),"Actes d'accusation")</f>
        <v>Actes d'accusation</v>
      </c>
      <c r="D2438" s="1" t="s">
        <v>4963</v>
      </c>
    </row>
    <row r="2439" spans="1:141" ht="14.25" customHeight="1" x14ac:dyDescent="0.3">
      <c r="A2439" s="1" t="s">
        <v>2580</v>
      </c>
      <c r="B2439" s="1" t="str">
        <f ca="1">IFERROR(__xludf.DUMMYFUNCTION("GOOGLETRANSLATE(A2439, ""en"", ""fr"")"),"courbe d'indifférence")</f>
        <v>courbe d'indifférence</v>
      </c>
      <c r="M2439" s="1" t="s">
        <v>10</v>
      </c>
    </row>
    <row r="2440" spans="1:141" ht="14.25" customHeight="1" x14ac:dyDescent="0.3">
      <c r="A2440" s="1" t="s">
        <v>2581</v>
      </c>
      <c r="B2440" s="1" t="str">
        <f ca="1">IFERROR(__xludf.DUMMYFUNCTION("GOOGLETRANSLATE(A2440, ""en"", ""fr"")"),"Coûts de main-d'œuvre indirects")</f>
        <v>Coûts de main-d'œuvre indirects</v>
      </c>
      <c r="M2440" s="1" t="s">
        <v>10</v>
      </c>
    </row>
    <row r="2441" spans="1:141" ht="14.25" customHeight="1" x14ac:dyDescent="0.3">
      <c r="A2441" s="1" t="s">
        <v>2582</v>
      </c>
      <c r="B2441" s="1" t="str">
        <f ca="1">IFERROR(__xludf.DUMMYFUNCTION("GOOGLETRANSLATE(A2441, ""en"", ""fr"")"),"Indonésie")</f>
        <v>Indonésie</v>
      </c>
      <c r="I2441" s="1" t="s">
        <v>6</v>
      </c>
      <c r="CL2441" s="1" t="s">
        <v>87</v>
      </c>
      <c r="EK2441" s="1" t="s">
        <v>138</v>
      </c>
    </row>
    <row r="2442" spans="1:141" ht="14.25" customHeight="1" x14ac:dyDescent="0.3">
      <c r="A2442" s="1" t="s">
        <v>2583</v>
      </c>
      <c r="B2442" s="1" t="str">
        <f ca="1">IFERROR(__xludf.DUMMYFUNCTION("GOOGLETRANSLATE(A2442, ""en"", ""fr"")"),"production industrielle")</f>
        <v>production industrielle</v>
      </c>
      <c r="M2442" s="1" t="s">
        <v>10</v>
      </c>
    </row>
    <row r="2443" spans="1:141" ht="14.25" customHeight="1" x14ac:dyDescent="0.3">
      <c r="A2443" s="1" t="s">
        <v>2584</v>
      </c>
      <c r="B2443" s="1" t="str">
        <f ca="1">IFERROR(__xludf.DUMMYFUNCTION("GOOGLETRANSLATE(A2443, ""en"", ""fr"")"),"indice de production industrielle")</f>
        <v>indice de production industrielle</v>
      </c>
      <c r="M2443" s="1" t="s">
        <v>10</v>
      </c>
    </row>
    <row r="2444" spans="1:141" ht="14.25" customHeight="1" x14ac:dyDescent="0.3">
      <c r="A2444" s="1" t="s">
        <v>2585</v>
      </c>
      <c r="B2444" s="1" t="str">
        <f ca="1">IFERROR(__xludf.DUMMYFUNCTION("GOOGLETRANSLATE(A2444, ""en"", ""fr"")"),"INEFFICACE")</f>
        <v>INEFFICACE</v>
      </c>
      <c r="D2444" s="1" t="s">
        <v>4963</v>
      </c>
    </row>
    <row r="2445" spans="1:141" ht="14.25" customHeight="1" x14ac:dyDescent="0.3">
      <c r="A2445" s="1" t="s">
        <v>2586</v>
      </c>
      <c r="B2445" s="1" t="str">
        <f ca="1">IFERROR(__xludf.DUMMYFUNCTION("GOOGLETRANSLATE(A2445, ""en"", ""fr"")"),"Inefficace")</f>
        <v>Inefficace</v>
      </c>
      <c r="D2445" s="1" t="s">
        <v>4963</v>
      </c>
    </row>
    <row r="2446" spans="1:141" ht="14.25" customHeight="1" x14ac:dyDescent="0.3">
      <c r="A2446" s="1" t="s">
        <v>2587</v>
      </c>
      <c r="B2446" s="1" t="str">
        <f ca="1">IFERROR(__xludf.DUMMYFUNCTION("GOOGLETRANSLATE(A2446, ""en"", ""fr"")"),"Inefficacité")</f>
        <v>Inefficacité</v>
      </c>
      <c r="D2446" s="1" t="s">
        <v>4963</v>
      </c>
    </row>
    <row r="2447" spans="1:141" ht="14.25" customHeight="1" x14ac:dyDescent="0.3">
      <c r="A2447" s="1" t="s">
        <v>2588</v>
      </c>
      <c r="B2447" s="1" t="str">
        <f ca="1">IFERROR(__xludf.DUMMYFUNCTION("GOOGLETRANSLATE(A2447, ""en"", ""fr"")"),"Inefficacités")</f>
        <v>Inefficacités</v>
      </c>
      <c r="D2447" s="1" t="s">
        <v>4963</v>
      </c>
    </row>
    <row r="2448" spans="1:141" ht="14.25" customHeight="1" x14ac:dyDescent="0.3">
      <c r="A2448" s="1" t="s">
        <v>2589</v>
      </c>
      <c r="B2448" s="1" t="str">
        <f ca="1">IFERROR(__xludf.DUMMYFUNCTION("GOOGLETRANSLATE(A2448, ""en"", ""fr"")"),"INEFFICACITÉ")</f>
        <v>INEFFICACITÉ</v>
      </c>
      <c r="D2448" s="1" t="s">
        <v>4963</v>
      </c>
    </row>
    <row r="2449" spans="1:13" ht="14.25" customHeight="1" x14ac:dyDescent="0.3">
      <c r="A2449" s="1" t="s">
        <v>2590</v>
      </c>
      <c r="B2449" s="1" t="str">
        <f ca="1">IFERROR(__xludf.DUMMYFUNCTION("GOOGLETRANSLATE(A2449, ""en"", ""fr"")"),"INEFFICACE")</f>
        <v>INEFFICACE</v>
      </c>
      <c r="D2449" s="1" t="s">
        <v>4963</v>
      </c>
    </row>
    <row r="2450" spans="1:13" ht="14.25" customHeight="1" x14ac:dyDescent="0.3">
      <c r="A2450" s="1" t="s">
        <v>2591</v>
      </c>
      <c r="B2450" s="1" t="str">
        <f ca="1">IFERROR(__xludf.DUMMYFUNCTION("GOOGLETRANSLATE(A2450, ""en"", ""fr"")"),"marché inefficace")</f>
        <v>marché inefficace</v>
      </c>
      <c r="M2450" s="1" t="s">
        <v>10</v>
      </c>
    </row>
    <row r="2451" spans="1:13" ht="14.25" customHeight="1" x14ac:dyDescent="0.3">
      <c r="A2451" s="1" t="s">
        <v>2592</v>
      </c>
      <c r="B2451" s="1" t="str">
        <f ca="1">IFERROR(__xludf.DUMMYFUNCTION("GOOGLETRANSLATE(A2451, ""en"", ""fr"")"),"Inefficacement")</f>
        <v>Inefficacement</v>
      </c>
      <c r="D2451" s="1" t="s">
        <v>4963</v>
      </c>
    </row>
    <row r="2452" spans="1:13" ht="14.25" customHeight="1" x14ac:dyDescent="0.3">
      <c r="A2452" s="1" t="s">
        <v>2593</v>
      </c>
      <c r="B2452" s="1" t="str">
        <f ca="1">IFERROR(__xludf.DUMMYFUNCTION("GOOGLETRANSLATE(A2452, ""en"", ""fr"")"),"inélasticité")</f>
        <v>inélasticité</v>
      </c>
      <c r="M2452" s="1" t="s">
        <v>10</v>
      </c>
    </row>
    <row r="2453" spans="1:13" ht="14.25" customHeight="1" x14ac:dyDescent="0.3">
      <c r="A2453" s="1" t="s">
        <v>2594</v>
      </c>
      <c r="B2453" s="1" t="str">
        <f ca="1">IFERROR(__xludf.DUMMYFUNCTION("GOOGLETRANSLATE(A2453, ""en"", ""fr"")"),"Insuffisance")</f>
        <v>Insuffisance</v>
      </c>
      <c r="D2453" s="1" t="s">
        <v>4963</v>
      </c>
    </row>
    <row r="2454" spans="1:13" ht="14.25" customHeight="1" x14ac:dyDescent="0.3">
      <c r="A2454" s="1" t="s">
        <v>2595</v>
      </c>
      <c r="B2454" s="1" t="str">
        <f ca="1">IFERROR(__xludf.DUMMYFUNCTION("GOOGLETRANSLATE(A2454, ""en"", ""fr"")"),"INÉLIGIBLE")</f>
        <v>INÉLIGIBLE</v>
      </c>
      <c r="D2454" s="1" t="s">
        <v>4963</v>
      </c>
    </row>
    <row r="2455" spans="1:13" ht="14.25" customHeight="1" x14ac:dyDescent="0.3">
      <c r="A2455" s="1" t="s">
        <v>2596</v>
      </c>
      <c r="B2455" s="1" t="str">
        <f ca="1">IFERROR(__xludf.DUMMYFUNCTION("GOOGLETRANSLATE(A2455, ""en"", ""fr"")"),"INÉQUITABLE")</f>
        <v>INÉQUITABLE</v>
      </c>
      <c r="D2455" s="1" t="s">
        <v>4963</v>
      </c>
    </row>
    <row r="2456" spans="1:13" ht="14.25" customHeight="1" x14ac:dyDescent="0.3">
      <c r="A2456" s="1" t="s">
        <v>2597</v>
      </c>
      <c r="B2456" s="1" t="str">
        <f ca="1">IFERROR(__xludf.DUMMYFUNCTION("GOOGLETRANSLATE(A2456, ""en"", ""fr"")"),"Inéquitablement")</f>
        <v>Inéquitablement</v>
      </c>
      <c r="D2456" s="1" t="s">
        <v>4963</v>
      </c>
    </row>
    <row r="2457" spans="1:13" ht="14.25" customHeight="1" x14ac:dyDescent="0.3">
      <c r="A2457" s="1" t="s">
        <v>2598</v>
      </c>
      <c r="B2457" s="1" t="str">
        <f ca="1">IFERROR(__xludf.DUMMYFUNCTION("GOOGLETRANSLATE(A2457, ""en"", ""fr"")"),"Inégalités")</f>
        <v>Inégalités</v>
      </c>
      <c r="D2457" s="1" t="s">
        <v>4963</v>
      </c>
    </row>
    <row r="2458" spans="1:13" ht="14.25" customHeight="1" x14ac:dyDescent="0.3">
      <c r="A2458" s="1" t="s">
        <v>2599</v>
      </c>
      <c r="B2458" s="1" t="str">
        <f ca="1">IFERROR(__xludf.DUMMYFUNCTION("GOOGLETRANSLATE(A2458, ""en"", ""fr"")"),"INIQUITÉ")</f>
        <v>INIQUITÉ</v>
      </c>
      <c r="D2458" s="1" t="s">
        <v>4963</v>
      </c>
    </row>
    <row r="2459" spans="1:13" ht="14.25" customHeight="1" x14ac:dyDescent="0.3">
      <c r="A2459" s="1" t="s">
        <v>2600</v>
      </c>
      <c r="B2459" s="1" t="str">
        <f ca="1">IFERROR(__xludf.DUMMYFUNCTION("GOOGLETRANSLATE(A2459, ""en"", ""fr"")"),"INÉVITABLE")</f>
        <v>INÉVITABLE</v>
      </c>
      <c r="D2459" s="1" t="s">
        <v>4963</v>
      </c>
    </row>
    <row r="2460" spans="1:13" ht="14.25" customHeight="1" x14ac:dyDescent="0.3">
      <c r="A2460" s="1" t="s">
        <v>2601</v>
      </c>
      <c r="B2460" s="1" t="str">
        <f ca="1">IFERROR(__xludf.DUMMYFUNCTION("GOOGLETRANSLATE(A2460, ""en"", ""fr"")"),"INEXPÉRIENCE")</f>
        <v>INEXPÉRIENCE</v>
      </c>
      <c r="D2460" s="1" t="s">
        <v>4963</v>
      </c>
    </row>
    <row r="2461" spans="1:13" ht="14.25" customHeight="1" x14ac:dyDescent="0.3">
      <c r="A2461" s="1" t="s">
        <v>2602</v>
      </c>
      <c r="B2461" s="1" t="str">
        <f ca="1">IFERROR(__xludf.DUMMYFUNCTION("GOOGLETRANSLATE(A2461, ""en"", ""fr"")"),"INEXPÉRIMENTÉ")</f>
        <v>INEXPÉRIMENTÉ</v>
      </c>
      <c r="D2461" s="1" t="s">
        <v>4963</v>
      </c>
    </row>
    <row r="2462" spans="1:13" ht="14.25" customHeight="1" x14ac:dyDescent="0.3">
      <c r="A2462" s="1" t="s">
        <v>2603</v>
      </c>
      <c r="B2462" s="1" t="str">
        <f ca="1">IFERROR(__xludf.DUMMYFUNCTION("GOOGLETRANSLATE(A2462, ""en"", ""fr"")"),"argument de l'industrie du nourrisson")</f>
        <v>argument de l'industrie du nourrisson</v>
      </c>
      <c r="M2462" s="1" t="s">
        <v>10</v>
      </c>
    </row>
    <row r="2463" spans="1:13" ht="14.25" customHeight="1" x14ac:dyDescent="0.3">
      <c r="A2463" s="1" t="s">
        <v>2604</v>
      </c>
      <c r="B2463" s="1" t="str">
        <f ca="1">IFERROR(__xludf.DUMMYFUNCTION("GOOGLETRANSLATE(A2463, ""en"", ""fr"")"),"INFÉRIEUR")</f>
        <v>INFÉRIEUR</v>
      </c>
      <c r="D2463" s="1" t="s">
        <v>4963</v>
      </c>
    </row>
    <row r="2464" spans="1:13" ht="14.25" customHeight="1" x14ac:dyDescent="0.3">
      <c r="A2464" s="1" t="s">
        <v>2605</v>
      </c>
      <c r="B2464" s="1" t="str">
        <f ca="1">IFERROR(__xludf.DUMMYFUNCTION("GOOGLETRANSLATE(A2464, ""en"", ""fr"")"),"inflation")</f>
        <v>inflation</v>
      </c>
      <c r="M2464" s="1" t="s">
        <v>10</v>
      </c>
    </row>
    <row r="2465" spans="1:136" ht="14.25" customHeight="1" x14ac:dyDescent="0.3">
      <c r="A2465" s="1" t="s">
        <v>2606</v>
      </c>
      <c r="B2465" s="1" t="str">
        <f ca="1">IFERROR(__xludf.DUMMYFUNCTION("GOOGLETRANSLATE(A2465, ""en"", ""fr"")"),"taux d'inflation")</f>
        <v>taux d'inflation</v>
      </c>
      <c r="M2465" s="1" t="s">
        <v>10</v>
      </c>
    </row>
    <row r="2466" spans="1:136" ht="14.25" customHeight="1" x14ac:dyDescent="0.3">
      <c r="A2466" s="1" t="s">
        <v>2607</v>
      </c>
      <c r="B2466" s="1" t="str">
        <f ca="1">IFERROR(__xludf.DUMMYFUNCTION("GOOGLETRANSLATE(A2466, ""en"", ""fr"")"),"risque d'inflation")</f>
        <v>risque d'inflation</v>
      </c>
      <c r="M2466" s="1" t="s">
        <v>10</v>
      </c>
      <c r="EF2466" s="1" t="s">
        <v>133</v>
      </c>
    </row>
    <row r="2467" spans="1:136" ht="14.25" customHeight="1" x14ac:dyDescent="0.3">
      <c r="A2467" s="1" t="s">
        <v>2608</v>
      </c>
      <c r="B2467" s="1" t="str">
        <f ca="1">IFERROR(__xludf.DUMMYFUNCTION("GOOGLETRANSLATE(A2467, ""en"", ""fr"")"),"échange d'inflation")</f>
        <v>échange d'inflation</v>
      </c>
      <c r="M2467" s="1" t="s">
        <v>10</v>
      </c>
    </row>
    <row r="2468" spans="1:136" ht="14.25" customHeight="1" x14ac:dyDescent="0.3">
      <c r="A2468" s="1" t="s">
        <v>2609</v>
      </c>
      <c r="B2468" s="1" t="str">
        <f ca="1">IFERROR(__xludf.DUMMYFUNCTION("GOOGLETRANSLATE(A2468, ""en"", ""fr"")"),"inflationniste")</f>
        <v>inflationniste</v>
      </c>
      <c r="M2468" s="1" t="s">
        <v>10</v>
      </c>
    </row>
    <row r="2469" spans="1:136" ht="14.25" customHeight="1" x14ac:dyDescent="0.3">
      <c r="A2469" s="1" t="s">
        <v>2610</v>
      </c>
      <c r="B2469" s="1" t="str">
        <f ca="1">IFERROR(__xludf.DUMMYFUNCTION("GOOGLETRANSLATE(A2469, ""en"", ""fr"")"),"dépenses inflexibles")</f>
        <v>dépenses inflexibles</v>
      </c>
      <c r="M2469" s="1" t="s">
        <v>10</v>
      </c>
    </row>
    <row r="2470" spans="1:136" ht="14.25" customHeight="1" x14ac:dyDescent="0.3">
      <c r="A2470" s="1" t="s">
        <v>2611</v>
      </c>
      <c r="B2470" s="1" t="str">
        <f ca="1">IFERROR(__xludf.DUMMYFUNCTION("GOOGLETRANSLATE(A2470, ""en"", ""fr"")"),"Infligé")</f>
        <v>Infligé</v>
      </c>
      <c r="D2470" s="1" t="s">
        <v>4963</v>
      </c>
    </row>
    <row r="2471" spans="1:136" ht="14.25" customHeight="1" x14ac:dyDescent="0.3">
      <c r="A2471" s="1" t="s">
        <v>2612</v>
      </c>
      <c r="B2471" s="1" t="str">
        <f ca="1">IFERROR(__xludf.DUMMYFUNCTION("GOOGLETRANSLATE(A2471, ""en"", ""fr"")"),"INFLUENT")</f>
        <v>INFLUENT</v>
      </c>
      <c r="H2471" s="1" t="s">
        <v>4964</v>
      </c>
    </row>
    <row r="2472" spans="1:136" ht="14.25" customHeight="1" x14ac:dyDescent="0.3">
      <c r="A2472" s="1" t="s">
        <v>2613</v>
      </c>
      <c r="B2472" s="1" t="str">
        <f ca="1">IFERROR(__xludf.DUMMYFUNCTION("GOOGLETRANSLATE(A2472, ""en"", ""fr"")"),"asymétrie de l'information")</f>
        <v>asymétrie de l'information</v>
      </c>
      <c r="M2472" s="1" t="s">
        <v>10</v>
      </c>
    </row>
    <row r="2473" spans="1:136" ht="14.25" customHeight="1" x14ac:dyDescent="0.3">
      <c r="A2473" s="1" t="s">
        <v>2614</v>
      </c>
      <c r="B2473" s="1" t="str">
        <f ca="1">IFERROR(__xludf.DUMMYFUNCTION("GOOGLETRANSLATE(A2473, ""en"", ""fr"")"),"symétrie d'information")</f>
        <v>symétrie d'information</v>
      </c>
      <c r="M2473" s="1" t="s">
        <v>10</v>
      </c>
    </row>
    <row r="2474" spans="1:136" ht="14.25" customHeight="1" x14ac:dyDescent="0.3">
      <c r="A2474" s="1" t="s">
        <v>2615</v>
      </c>
      <c r="B2474" s="1" t="str">
        <f ca="1">IFERROR(__xludf.DUMMYFUNCTION("GOOGLETRANSLATE(A2474, ""en"", ""fr"")"),"INFORMATIF")</f>
        <v>INFORMATIF</v>
      </c>
      <c r="H2474" s="1" t="s">
        <v>4964</v>
      </c>
    </row>
    <row r="2475" spans="1:136" ht="14.25" customHeight="1" x14ac:dyDescent="0.3">
      <c r="A2475" s="1" t="s">
        <v>2616</v>
      </c>
      <c r="B2475" s="1" t="str">
        <f ca="1">IFERROR(__xludf.DUMMYFUNCTION("GOOGLETRANSLATE(A2475, ""en"", ""fr"")"),"INFRACTION")</f>
        <v>INFRACTION</v>
      </c>
      <c r="D2475" s="1" t="s">
        <v>4963</v>
      </c>
    </row>
    <row r="2476" spans="1:136" ht="14.25" customHeight="1" x14ac:dyDescent="0.3">
      <c r="A2476" s="1" t="s">
        <v>2617</v>
      </c>
      <c r="B2476" s="1" t="str">
        <f ca="1">IFERROR(__xludf.DUMMYFUNCTION("GOOGLETRANSLATE(A2476, ""en"", ""fr"")"),"Infractions")</f>
        <v>Infractions</v>
      </c>
      <c r="D2476" s="1" t="s">
        <v>4963</v>
      </c>
    </row>
    <row r="2477" spans="1:136" ht="14.25" customHeight="1" x14ac:dyDescent="0.3">
      <c r="A2477" s="1" t="s">
        <v>2618</v>
      </c>
      <c r="B2477" s="1" t="str">
        <f ca="1">IFERROR(__xludf.DUMMYFUNCTION("GOOGLETRANSLATE(A2477, ""en"", ""fr"")"),"Infrastructure")</f>
        <v>Infrastructure</v>
      </c>
      <c r="M2477" s="1" t="s">
        <v>10</v>
      </c>
    </row>
    <row r="2478" spans="1:136" ht="14.25" customHeight="1" x14ac:dyDescent="0.3">
      <c r="A2478" s="1" t="s">
        <v>2619</v>
      </c>
      <c r="B2478" s="1" t="str">
        <f ca="1">IFERROR(__xludf.DUMMYFUNCTION("GOOGLETRANSLATE(A2478, ""en"", ""fr"")"),"ENFREINDRE")</f>
        <v>ENFREINDRE</v>
      </c>
      <c r="D2478" s="1" t="s">
        <v>4963</v>
      </c>
    </row>
    <row r="2479" spans="1:136" ht="14.25" customHeight="1" x14ac:dyDescent="0.3">
      <c r="A2479" s="1" t="s">
        <v>2620</v>
      </c>
      <c r="B2479" s="1" t="str">
        <f ca="1">IFERROR(__xludf.DUMMYFUNCTION("GOOGLETRANSLATE(A2479, ""en"", ""fr"")"),"Enfreint")</f>
        <v>Enfreint</v>
      </c>
      <c r="D2479" s="1" t="s">
        <v>4963</v>
      </c>
    </row>
    <row r="2480" spans="1:136" ht="14.25" customHeight="1" x14ac:dyDescent="0.3">
      <c r="A2480" s="1" t="s">
        <v>2621</v>
      </c>
      <c r="B2480" s="1" t="str">
        <f ca="1">IFERROR(__xludf.DUMMYFUNCTION("GOOGLETRANSLATE(A2480, ""en"", ""fr"")"),"INFRACTION")</f>
        <v>INFRACTION</v>
      </c>
      <c r="D2480" s="1" t="s">
        <v>4963</v>
      </c>
    </row>
    <row r="2481" spans="1:114" ht="14.25" customHeight="1" x14ac:dyDescent="0.3">
      <c r="A2481" s="1" t="s">
        <v>2622</v>
      </c>
      <c r="B2481" s="1" t="str">
        <f ca="1">IFERROR(__xludf.DUMMYFUNCTION("GOOGLETRANSLATE(A2481, ""en"", ""fr"")"),"Infractions")</f>
        <v>Infractions</v>
      </c>
      <c r="D2481" s="1" t="s">
        <v>4963</v>
      </c>
    </row>
    <row r="2482" spans="1:114" ht="14.25" customHeight="1" x14ac:dyDescent="0.3">
      <c r="A2482" s="1" t="s">
        <v>2623</v>
      </c>
      <c r="B2482" s="1" t="str">
        <f ca="1">IFERROR(__xludf.DUMMYFUNCTION("GOOGLETRANSLATE(A2482, ""en"", ""fr"")"),"Enfreindre")</f>
        <v>Enfreindre</v>
      </c>
      <c r="D2482" s="1" t="s">
        <v>4963</v>
      </c>
    </row>
    <row r="2483" spans="1:114" ht="14.25" customHeight="1" x14ac:dyDescent="0.3">
      <c r="A2483" s="1" t="s">
        <v>2624</v>
      </c>
      <c r="B2483" s="1" t="str">
        <f ca="1">IFERROR(__xludf.DUMMYFUNCTION("GOOGLETRANSLATE(A2483, ""en"", ""fr"")"),"Violant")</f>
        <v>Violant</v>
      </c>
      <c r="D2483" s="1" t="s">
        <v>4963</v>
      </c>
    </row>
    <row r="2484" spans="1:114" ht="14.25" customHeight="1" x14ac:dyDescent="0.3">
      <c r="A2484" s="1" t="s">
        <v>2625</v>
      </c>
      <c r="B2484" s="1" t="str">
        <f ca="1">IFERROR(__xludf.DUMMYFUNCTION("GOOGLETRANSLATE(A2484, ""en"", ""fr"")"),"ing. Antonio m. amor")</f>
        <v>ing. Antonio m. amor</v>
      </c>
      <c r="AD2484" s="1" t="s">
        <v>27</v>
      </c>
      <c r="BF2484" s="1" t="s">
        <v>55</v>
      </c>
      <c r="DE2484" s="1" t="s">
        <v>106</v>
      </c>
      <c r="DJ2484" s="1" t="s">
        <v>111</v>
      </c>
    </row>
    <row r="2485" spans="1:114" ht="14.25" customHeight="1" x14ac:dyDescent="0.3">
      <c r="A2485" s="1" t="s">
        <v>2626</v>
      </c>
      <c r="B2485" s="1" t="str">
        <f ca="1">IFERROR(__xludf.DUMMYFUNCTION("GOOGLETRANSLATE(A2485, ""en"", ""fr"")"),"INGÉNIOSITÉ")</f>
        <v>INGÉNIOSITÉ</v>
      </c>
      <c r="H2485" s="1" t="s">
        <v>4964</v>
      </c>
    </row>
    <row r="2486" spans="1:114" ht="14.25" customHeight="1" x14ac:dyDescent="0.3">
      <c r="A2486" s="1" t="s">
        <v>2627</v>
      </c>
      <c r="B2486" s="1" t="str">
        <f ca="1">IFERROR(__xludf.DUMMYFUNCTION("GOOGLETRANSLATE(A2486, ""en"", ""fr"")"),"Inhibé")</f>
        <v>Inhibé</v>
      </c>
      <c r="D2486" s="1" t="s">
        <v>4963</v>
      </c>
    </row>
    <row r="2487" spans="1:114" ht="14.25" customHeight="1" x14ac:dyDescent="0.3">
      <c r="A2487" s="1" t="s">
        <v>2628</v>
      </c>
      <c r="B2487" s="1" t="str">
        <f ca="1">IFERROR(__xludf.DUMMYFUNCTION("GOOGLETRANSLATE(A2487, ""en"", ""fr"")"),"Inhibiteur")</f>
        <v>Inhibiteur</v>
      </c>
      <c r="E2487" s="1" t="s">
        <v>3</v>
      </c>
    </row>
    <row r="2488" spans="1:114" ht="14.25" customHeight="1" x14ac:dyDescent="0.3">
      <c r="A2488" s="1" t="s">
        <v>2629</v>
      </c>
      <c r="B2488" s="1" t="str">
        <f ca="1">IFERROR(__xludf.DUMMYFUNCTION("GOOGLETRANSLATE(A2488, ""en"", ""fr"")"),"HOSTILE")</f>
        <v>HOSTILE</v>
      </c>
      <c r="D2488" s="1" t="s">
        <v>4963</v>
      </c>
    </row>
    <row r="2489" spans="1:114" ht="14.25" customHeight="1" x14ac:dyDescent="0.3">
      <c r="A2489" s="1" t="s">
        <v>2630</v>
      </c>
      <c r="B2489" s="1" t="str">
        <f ca="1">IFERROR(__xludf.DUMMYFUNCTION("GOOGLETRANSLATE(A2489, ""en"", ""fr"")"),"réclamations initiales")</f>
        <v>réclamations initiales</v>
      </c>
      <c r="M2489" s="1" t="s">
        <v>10</v>
      </c>
    </row>
    <row r="2490" spans="1:114" ht="14.25" customHeight="1" x14ac:dyDescent="0.3">
      <c r="A2490" s="1" t="s">
        <v>2631</v>
      </c>
      <c r="B2490" s="1" t="str">
        <f ca="1">IFERROR(__xludf.DUMMYFUNCTION("GOOGLETRANSLATE(A2490, ""en"", ""fr"")"),"Réclamations initiales sans emploi")</f>
        <v>Réclamations initiales sans emploi</v>
      </c>
      <c r="M2490" s="1" t="s">
        <v>10</v>
      </c>
    </row>
    <row r="2491" spans="1:114" ht="14.25" customHeight="1" x14ac:dyDescent="0.3">
      <c r="A2491" s="1" t="s">
        <v>2632</v>
      </c>
      <c r="B2491" s="1" t="str">
        <f ca="1">IFERROR(__xludf.DUMMYFUNCTION("GOOGLETRANSLATE(A2491, ""en"", ""fr"")"),"Installation d'injection")</f>
        <v>Installation d'injection</v>
      </c>
      <c r="E2491" s="1" t="s">
        <v>3</v>
      </c>
    </row>
    <row r="2492" spans="1:114" ht="14.25" customHeight="1" x14ac:dyDescent="0.3">
      <c r="A2492" s="1" t="s">
        <v>2633</v>
      </c>
      <c r="B2492" s="1" t="str">
        <f ca="1">IFERROR(__xludf.DUMMYFUNCTION("GOOGLETRANSLATE(A2492, ""en"", ""fr"")"),"INJONCTION")</f>
        <v>INJONCTION</v>
      </c>
      <c r="D2492" s="1" t="s">
        <v>4963</v>
      </c>
    </row>
    <row r="2493" spans="1:114" ht="14.25" customHeight="1" x14ac:dyDescent="0.3">
      <c r="A2493" s="1" t="s">
        <v>2634</v>
      </c>
      <c r="B2493" s="1" t="str">
        <f ca="1">IFERROR(__xludf.DUMMYFUNCTION("GOOGLETRANSLATE(A2493, ""en"", ""fr"")"),"Injonctions")</f>
        <v>Injonctions</v>
      </c>
      <c r="D2493" s="1" t="s">
        <v>4963</v>
      </c>
    </row>
    <row r="2494" spans="1:114" ht="14.25" customHeight="1" x14ac:dyDescent="0.3">
      <c r="A2494" s="1" t="s">
        <v>2635</v>
      </c>
      <c r="B2494" s="1" t="str">
        <f ca="1">IFERROR(__xludf.DUMMYFUNCTION("GOOGLETRANSLATE(A2494, ""en"", ""fr"")"),"BLESSER")</f>
        <v>BLESSER</v>
      </c>
      <c r="D2494" s="1" t="s">
        <v>4963</v>
      </c>
    </row>
    <row r="2495" spans="1:114" ht="14.25" customHeight="1" x14ac:dyDescent="0.3">
      <c r="A2495" s="1" t="s">
        <v>2636</v>
      </c>
      <c r="B2495" s="1" t="str">
        <f ca="1">IFERROR(__xludf.DUMMYFUNCTION("GOOGLETRANSLATE(A2495, ""en"", ""fr"")"),"BLESSÉ")</f>
        <v>BLESSÉ</v>
      </c>
      <c r="D2495" s="1" t="s">
        <v>4963</v>
      </c>
    </row>
    <row r="2496" spans="1:114" ht="14.25" customHeight="1" x14ac:dyDescent="0.3">
      <c r="A2496" s="1" t="s">
        <v>2637</v>
      </c>
      <c r="B2496" s="1" t="str">
        <f ca="1">IFERROR(__xludf.DUMMYFUNCTION("GOOGLETRANSLATE(A2496, ""en"", ""fr"")"),"Blessure")</f>
        <v>Blessure</v>
      </c>
      <c r="D2496" s="1" t="s">
        <v>4963</v>
      </c>
    </row>
    <row r="2497" spans="1:124" ht="14.25" customHeight="1" x14ac:dyDescent="0.3">
      <c r="A2497" s="1" t="s">
        <v>2638</v>
      </c>
      <c r="B2497" s="1" t="str">
        <f ca="1">IFERROR(__xludf.DUMMYFUNCTION("GOOGLETRANSLATE(A2497, ""en"", ""fr"")"),"Blessures")</f>
        <v>Blessures</v>
      </c>
      <c r="D2497" s="1" t="s">
        <v>4963</v>
      </c>
    </row>
    <row r="2498" spans="1:124" ht="14.25" customHeight="1" x14ac:dyDescent="0.3">
      <c r="A2498" s="1" t="s">
        <v>2639</v>
      </c>
      <c r="B2498" s="1" t="str">
        <f ca="1">IFERROR(__xludf.DUMMYFUNCTION("GOOGLETRANSLATE(A2498, ""en"", ""fr"")"),"Blessure")</f>
        <v>Blessure</v>
      </c>
      <c r="D2498" s="1" t="s">
        <v>4963</v>
      </c>
    </row>
    <row r="2499" spans="1:124" ht="14.25" customHeight="1" x14ac:dyDescent="0.3">
      <c r="A2499" s="1" t="s">
        <v>2640</v>
      </c>
      <c r="B2499" s="1" t="str">
        <f ca="1">IFERROR(__xludf.DUMMYFUNCTION("GOOGLETRANSLATE(A2499, ""en"", ""fr"")"),"PRÉJUDICIABLE")</f>
        <v>PRÉJUDICIABLE</v>
      </c>
      <c r="D2499" s="1" t="s">
        <v>4963</v>
      </c>
    </row>
    <row r="2500" spans="1:124" ht="14.25" customHeight="1" x14ac:dyDescent="0.3">
      <c r="A2500" s="1" t="s">
        <v>2641</v>
      </c>
      <c r="B2500" s="1" t="str">
        <f ca="1">IFERROR(__xludf.DUMMYFUNCTION("GOOGLETRANSLATE(A2500, ""en"", ""fr"")"),"BLESSURE")</f>
        <v>BLESSURE</v>
      </c>
      <c r="D2500" s="1" t="s">
        <v>4963</v>
      </c>
    </row>
    <row r="2501" spans="1:124" ht="14.25" customHeight="1" x14ac:dyDescent="0.3">
      <c r="A2501" s="1" t="s">
        <v>2642</v>
      </c>
      <c r="B2501" s="1" t="str">
        <f ca="1">IFERROR(__xludf.DUMMYFUNCTION("GOOGLETRANSLATE(A2501, ""en"", ""fr"")"),"INNOVER")</f>
        <v>INNOVER</v>
      </c>
      <c r="H2501" s="1" t="s">
        <v>4964</v>
      </c>
    </row>
    <row r="2502" spans="1:124" ht="14.25" customHeight="1" x14ac:dyDescent="0.3">
      <c r="A2502" s="1" t="s">
        <v>2643</v>
      </c>
      <c r="B2502" s="1" t="str">
        <f ca="1">IFERROR(__xludf.DUMMYFUNCTION("GOOGLETRANSLATE(A2502, ""en"", ""fr"")"),"Innové")</f>
        <v>Innové</v>
      </c>
      <c r="H2502" s="1" t="s">
        <v>4964</v>
      </c>
    </row>
    <row r="2503" spans="1:124" ht="14.25" customHeight="1" x14ac:dyDescent="0.3">
      <c r="A2503" s="1" t="s">
        <v>2644</v>
      </c>
      <c r="B2503" s="1" t="str">
        <f ca="1">IFERROR(__xludf.DUMMYFUNCTION("GOOGLETRANSLATE(A2503, ""en"", ""fr"")"),"Innover")</f>
        <v>Innover</v>
      </c>
      <c r="H2503" s="1" t="s">
        <v>4964</v>
      </c>
    </row>
    <row r="2504" spans="1:124" ht="14.25" customHeight="1" x14ac:dyDescent="0.3">
      <c r="A2504" s="1" t="s">
        <v>2645</v>
      </c>
      <c r="B2504" s="1" t="str">
        <f ca="1">IFERROR(__xludf.DUMMYFUNCTION("GOOGLETRANSLATE(A2504, ""en"", ""fr"")"),"Innovant")</f>
        <v>Innovant</v>
      </c>
      <c r="H2504" s="1" t="s">
        <v>4964</v>
      </c>
    </row>
    <row r="2505" spans="1:124" ht="14.25" customHeight="1" x14ac:dyDescent="0.3">
      <c r="A2505" s="1" t="s">
        <v>2646</v>
      </c>
      <c r="B2505" s="1" t="str">
        <f ca="1">IFERROR(__xludf.DUMMYFUNCTION("GOOGLETRANSLATE(A2505, ""en"", ""fr"")"),"INNOVATION")</f>
        <v>INNOVATION</v>
      </c>
      <c r="H2505" s="1" t="s">
        <v>4964</v>
      </c>
    </row>
    <row r="2506" spans="1:124" ht="14.25" customHeight="1" x14ac:dyDescent="0.3">
      <c r="A2506" s="1" t="s">
        <v>2647</v>
      </c>
      <c r="B2506" s="1" t="str">
        <f ca="1">IFERROR(__xludf.DUMMYFUNCTION("GOOGLETRANSLATE(A2506, ""en"", ""fr"")"),"Innovations")</f>
        <v>Innovations</v>
      </c>
      <c r="H2506" s="1" t="s">
        <v>4964</v>
      </c>
    </row>
    <row r="2507" spans="1:124" ht="14.25" customHeight="1" x14ac:dyDescent="0.3">
      <c r="A2507" s="1" t="s">
        <v>2648</v>
      </c>
      <c r="B2507" s="1" t="str">
        <f ca="1">IFERROR(__xludf.DUMMYFUNCTION("GOOGLETRANSLATE(A2507, ""en"", ""fr"")"),"INNOVANT")</f>
        <v>INNOVANT</v>
      </c>
      <c r="H2507" s="1" t="s">
        <v>4964</v>
      </c>
    </row>
    <row r="2508" spans="1:124" ht="14.25" customHeight="1" x14ac:dyDescent="0.3">
      <c r="A2508" s="1" t="s">
        <v>2649</v>
      </c>
      <c r="B2508" s="1" t="str">
        <f ca="1">IFERROR(__xludf.DUMMYFUNCTION("GOOGLETRANSLATE(A2508, ""en"", ""fr"")"),"Innovation")</f>
        <v>Innovation</v>
      </c>
      <c r="H2508" s="1" t="s">
        <v>4964</v>
      </c>
    </row>
    <row r="2509" spans="1:124" ht="14.25" customHeight="1" x14ac:dyDescent="0.3">
      <c r="A2509" s="1" t="s">
        <v>2650</v>
      </c>
      <c r="B2509" s="1" t="str">
        <f ca="1">IFERROR(__xludf.DUMMYFUNCTION("GOOGLETRANSLATE(A2509, ""en"", ""fr"")"),"INNOVATEUR")</f>
        <v>INNOVATEUR</v>
      </c>
      <c r="H2509" s="1" t="s">
        <v>4964</v>
      </c>
    </row>
    <row r="2510" spans="1:124" ht="14.25" customHeight="1" x14ac:dyDescent="0.3">
      <c r="A2510" s="1" t="s">
        <v>2651</v>
      </c>
      <c r="B2510" s="1" t="str">
        <f ca="1">IFERROR(__xludf.DUMMYFUNCTION("GOOGLETRANSLATE(A2510, ""en"", ""fr"")"),"Innovateurs")</f>
        <v>Innovateurs</v>
      </c>
      <c r="H2510" s="1" t="s">
        <v>4964</v>
      </c>
    </row>
    <row r="2511" spans="1:124" ht="14.25" customHeight="1" x14ac:dyDescent="0.3">
      <c r="A2511" s="1" t="s">
        <v>2652</v>
      </c>
      <c r="B2511" s="1" t="str">
        <f ca="1">IFERROR(__xludf.DUMMYFUNCTION("GOOGLETRANSLATE(A2511, ""en"", ""fr"")"),"INOC")</f>
        <v>INOC</v>
      </c>
      <c r="CG2511" s="1" t="s">
        <v>82</v>
      </c>
      <c r="CL2511" s="1" t="s">
        <v>87</v>
      </c>
      <c r="DQ2511" s="1" t="s">
        <v>118</v>
      </c>
      <c r="DT2511" s="1" t="s">
        <v>121</v>
      </c>
    </row>
    <row r="2512" spans="1:124" ht="14.25" customHeight="1" x14ac:dyDescent="0.3">
      <c r="A2512" s="1" t="s">
        <v>2653</v>
      </c>
      <c r="B2512" s="1" t="str">
        <f ca="1">IFERROR(__xludf.DUMMYFUNCTION("GOOGLETRANSLATE(A2512, ""en"", ""fr"")"),"EXCESSIF")</f>
        <v>EXCESSIF</v>
      </c>
      <c r="D2512" s="1" t="s">
        <v>4963</v>
      </c>
    </row>
    <row r="2513" spans="1:13" ht="14.25" customHeight="1" x14ac:dyDescent="0.3">
      <c r="A2513" s="1" t="s">
        <v>2654</v>
      </c>
      <c r="B2513" s="1" t="str">
        <f ca="1">IFERROR(__xludf.DUMMYFUNCTION("GOOGLETRANSLATE(A2513, ""en"", ""fr"")"),"Excessivement")</f>
        <v>Excessivement</v>
      </c>
      <c r="D2513" s="1" t="s">
        <v>4963</v>
      </c>
    </row>
    <row r="2514" spans="1:13" ht="14.25" customHeight="1" x14ac:dyDescent="0.3">
      <c r="A2514" s="1" t="s">
        <v>2655</v>
      </c>
      <c r="B2514" s="1" t="str">
        <f ca="1">IFERROR(__xludf.DUMMYFUNCTION("GOOGLETRANSLATE(A2514, ""en"", ""fr"")"),"ENQUÊTE")</f>
        <v>ENQUÊTE</v>
      </c>
      <c r="D2514" s="1" t="s">
        <v>4963</v>
      </c>
    </row>
    <row r="2515" spans="1:13" ht="14.25" customHeight="1" x14ac:dyDescent="0.3">
      <c r="A2515" s="1" t="s">
        <v>2656</v>
      </c>
      <c r="B2515" s="1" t="str">
        <f ca="1">IFERROR(__xludf.DUMMYFUNCTION("GOOGLETRANSLATE(A2515, ""en"", ""fr"")"),"PRÉCAIRE")</f>
        <v>PRÉCAIRE</v>
      </c>
      <c r="D2515" s="1" t="s">
        <v>4963</v>
      </c>
    </row>
    <row r="2516" spans="1:13" ht="14.25" customHeight="1" x14ac:dyDescent="0.3">
      <c r="A2516" s="1" t="s">
        <v>2657</v>
      </c>
      <c r="B2516" s="1" t="str">
        <f ca="1">IFERROR(__xludf.DUMMYFUNCTION("GOOGLETRANSLATE(A2516, ""en"", ""fr"")"),"INSENSIBLE")</f>
        <v>INSENSIBLE</v>
      </c>
      <c r="D2516" s="1" t="s">
        <v>4963</v>
      </c>
    </row>
    <row r="2517" spans="1:13" ht="14.25" customHeight="1" x14ac:dyDescent="0.3">
      <c r="A2517" s="1" t="s">
        <v>2658</v>
      </c>
      <c r="B2517" s="1" t="str">
        <f ca="1">IFERROR(__xludf.DUMMYFUNCTION("GOOGLETRANSLATE(A2517, ""en"", ""fr"")"),"à l'intérieur")</f>
        <v>à l'intérieur</v>
      </c>
      <c r="J2517" s="1" t="s">
        <v>7</v>
      </c>
    </row>
    <row r="2518" spans="1:13" ht="14.25" customHeight="1" x14ac:dyDescent="0.3">
      <c r="A2518" s="1" t="s">
        <v>2659</v>
      </c>
      <c r="B2518" s="1" t="str">
        <f ca="1">IFERROR(__xludf.DUMMYFUNCTION("GOOGLETRANSLATE(A2518, ""en"", ""fr"")"),"Perspicace")</f>
        <v>Perspicace</v>
      </c>
      <c r="H2518" s="1" t="s">
        <v>4964</v>
      </c>
    </row>
    <row r="2519" spans="1:13" ht="14.25" customHeight="1" x14ac:dyDescent="0.3">
      <c r="A2519" s="1" t="s">
        <v>2660</v>
      </c>
      <c r="B2519" s="1" t="str">
        <f ca="1">IFERROR(__xludf.DUMMYFUNCTION("GOOGLETRANSLATE(A2519, ""en"", ""fr"")"),"Reprise in situ")</f>
        <v>Reprise in situ</v>
      </c>
      <c r="E2519" s="1" t="s">
        <v>3</v>
      </c>
    </row>
    <row r="2520" spans="1:13" ht="14.25" customHeight="1" x14ac:dyDescent="0.3">
      <c r="A2520" s="1" t="s">
        <v>2661</v>
      </c>
      <c r="B2520" s="1" t="str">
        <f ca="1">IFERROR(__xludf.DUMMYFUNCTION("GOOGLETRANSLATE(A2520, ""en"", ""fr"")"),"Insoluble")</f>
        <v>Insoluble</v>
      </c>
      <c r="E2520" s="1" t="s">
        <v>3</v>
      </c>
    </row>
    <row r="2521" spans="1:13" ht="14.25" customHeight="1" x14ac:dyDescent="0.3">
      <c r="A2521" s="1" t="s">
        <v>2662</v>
      </c>
      <c r="B2521" s="1" t="str">
        <f ca="1">IFERROR(__xludf.DUMMYFUNCTION("GOOGLETRANSLATE(A2521, ""en"", ""fr"")"),"Insolvences")</f>
        <v>Insolvences</v>
      </c>
      <c r="D2521" s="1" t="s">
        <v>4963</v>
      </c>
    </row>
    <row r="2522" spans="1:13" ht="14.25" customHeight="1" x14ac:dyDescent="0.3">
      <c r="A2522" s="1" t="s">
        <v>2663</v>
      </c>
      <c r="B2522" s="1" t="str">
        <f ca="1">IFERROR(__xludf.DUMMYFUNCTION("GOOGLETRANSLATE(A2522, ""en"", ""fr"")"),"INSOLVABILITÉ")</f>
        <v>INSOLVABILITÉ</v>
      </c>
      <c r="D2522" s="1" t="s">
        <v>4963</v>
      </c>
    </row>
    <row r="2523" spans="1:13" ht="14.25" customHeight="1" x14ac:dyDescent="0.3">
      <c r="A2523" s="1" t="s">
        <v>2664</v>
      </c>
      <c r="B2523" s="1" t="str">
        <f ca="1">IFERROR(__xludf.DUMMYFUNCTION("GOOGLETRANSLATE(A2523, ""en"", ""fr"")"),"INSOLVABLE")</f>
        <v>INSOLVABLE</v>
      </c>
      <c r="D2523" s="1" t="s">
        <v>4963</v>
      </c>
    </row>
    <row r="2524" spans="1:13" ht="14.25" customHeight="1" x14ac:dyDescent="0.3">
      <c r="A2524" s="1" t="s">
        <v>2665</v>
      </c>
      <c r="B2524" s="1" t="str">
        <f ca="1">IFERROR(__xludf.DUMMYFUNCTION("GOOGLETRANSLATE(A2524, ""en"", ""fr"")"),"INSPIRATION")</f>
        <v>INSPIRATION</v>
      </c>
      <c r="H2524" s="1" t="s">
        <v>4964</v>
      </c>
    </row>
    <row r="2525" spans="1:13" ht="14.25" customHeight="1" x14ac:dyDescent="0.3">
      <c r="A2525" s="1" t="s">
        <v>2666</v>
      </c>
      <c r="B2525" s="1" t="str">
        <f ca="1">IFERROR(__xludf.DUMMYFUNCTION("GOOGLETRANSLATE(A2525, ""en"", ""fr"")"),"Inspirant")</f>
        <v>Inspirant</v>
      </c>
      <c r="H2525" s="1" t="s">
        <v>4964</v>
      </c>
    </row>
    <row r="2526" spans="1:13" ht="14.25" customHeight="1" x14ac:dyDescent="0.3">
      <c r="A2526" s="1" t="s">
        <v>2667</v>
      </c>
      <c r="B2526" s="1" t="str">
        <f ca="1">IFERROR(__xludf.DUMMYFUNCTION("GOOGLETRANSLATE(A2526, ""en"", ""fr"")"),"INSTABILITÉ")</f>
        <v>INSTABILITÉ</v>
      </c>
      <c r="D2526" s="1" t="s">
        <v>4963</v>
      </c>
    </row>
    <row r="2527" spans="1:13" ht="14.25" customHeight="1" x14ac:dyDescent="0.3">
      <c r="A2527" s="1" t="s">
        <v>2668</v>
      </c>
      <c r="B2527" s="1" t="str">
        <f ca="1">IFERROR(__xludf.DUMMYFUNCTION("GOOGLETRANSLATE(A2527, ""en"", ""fr"")"),"Institut de gestion de l'offre")</f>
        <v>Institut de gestion de l'offre</v>
      </c>
      <c r="M2527" s="1" t="s">
        <v>10</v>
      </c>
    </row>
    <row r="2528" spans="1:13" ht="14.25" customHeight="1" x14ac:dyDescent="0.3">
      <c r="A2528" s="1" t="s">
        <v>2669</v>
      </c>
      <c r="B2528" s="1" t="str">
        <f ca="1">IFERROR(__xludf.DUMMYFUNCTION("GOOGLETRANSLATE(A2528, ""en"", ""fr"")"),"INSUBORDINATION")</f>
        <v>INSUBORDINATION</v>
      </c>
      <c r="D2528" s="1" t="s">
        <v>4963</v>
      </c>
    </row>
    <row r="2529" spans="1:136" ht="14.25" customHeight="1" x14ac:dyDescent="0.3">
      <c r="A2529" s="1" t="s">
        <v>2670</v>
      </c>
      <c r="B2529" s="1" t="str">
        <f ca="1">IFERROR(__xludf.DUMMYFUNCTION("GOOGLETRANSLATE(A2529, ""en"", ""fr"")"),"INSUFFISANCE")</f>
        <v>INSUFFISANCE</v>
      </c>
      <c r="D2529" s="1" t="s">
        <v>4963</v>
      </c>
    </row>
    <row r="2530" spans="1:136" ht="14.25" customHeight="1" x14ac:dyDescent="0.3">
      <c r="A2530" s="1" t="s">
        <v>2671</v>
      </c>
      <c r="B2530" s="1" t="str">
        <f ca="1">IFERROR(__xludf.DUMMYFUNCTION("GOOGLETRANSLATE(A2530, ""en"", ""fr"")"),"INSUFFISANT")</f>
        <v>INSUFFISANT</v>
      </c>
      <c r="D2530" s="1" t="s">
        <v>4963</v>
      </c>
    </row>
    <row r="2531" spans="1:136" ht="14.25" customHeight="1" x14ac:dyDescent="0.3">
      <c r="A2531" s="1" t="s">
        <v>2672</v>
      </c>
      <c r="B2531" s="1" t="str">
        <f ca="1">IFERROR(__xludf.DUMMYFUNCTION("GOOGLETRANSLATE(A2531, ""en"", ""fr"")"),"Insuffisamment")</f>
        <v>Insuffisamment</v>
      </c>
      <c r="D2531" s="1" t="s">
        <v>4963</v>
      </c>
    </row>
    <row r="2532" spans="1:136" ht="14.25" customHeight="1" x14ac:dyDescent="0.3">
      <c r="A2532" s="1" t="s">
        <v>2673</v>
      </c>
      <c r="B2532" s="1" t="str">
        <f ca="1">IFERROR(__xludf.DUMMYFUNCTION("GOOGLETRANSLATE(A2532, ""en"", ""fr"")"),"INSURRECTION")</f>
        <v>INSURRECTION</v>
      </c>
      <c r="D2532" s="1" t="s">
        <v>4963</v>
      </c>
    </row>
    <row r="2533" spans="1:136" ht="14.25" customHeight="1" x14ac:dyDescent="0.3">
      <c r="A2533" s="1" t="s">
        <v>2674</v>
      </c>
      <c r="B2533" s="1" t="str">
        <f ca="1">IFERROR(__xludf.DUMMYFUNCTION("GOOGLETRANSLATE(A2533, ""en"", ""fr"")"),"Insurrections")</f>
        <v>Insurrections</v>
      </c>
      <c r="D2533" s="1" t="s">
        <v>4963</v>
      </c>
    </row>
    <row r="2534" spans="1:136" ht="14.25" customHeight="1" x14ac:dyDescent="0.3">
      <c r="A2534" s="1" t="s">
        <v>2675</v>
      </c>
      <c r="B2534" s="1" t="str">
        <f ca="1">IFERROR(__xludf.DUMMYFUNCTION("GOOGLETRANSLATE(A2534, ""en"", ""fr"")"),"actif incorporel")</f>
        <v>actif incorporel</v>
      </c>
      <c r="CR2534" s="1" t="s">
        <v>93</v>
      </c>
    </row>
    <row r="2535" spans="1:136" ht="14.25" customHeight="1" x14ac:dyDescent="0.3">
      <c r="A2535" s="1" t="s">
        <v>2676</v>
      </c>
      <c r="B2535" s="1" t="str">
        <f ca="1">IFERROR(__xludf.DUMMYFUNCTION("GOOGLETRANSLATE(A2535, ""en"", ""fr"")"),"Marché financier intégré")</f>
        <v>Marché financier intégré</v>
      </c>
      <c r="M2535" s="1" t="s">
        <v>10</v>
      </c>
    </row>
    <row r="2536" spans="1:136" ht="14.25" customHeight="1" x14ac:dyDescent="0.3">
      <c r="A2536" s="1" t="s">
        <v>2677</v>
      </c>
      <c r="B2536" s="1" t="str">
        <f ca="1">IFERROR(__xludf.DUMMYFUNCTION("GOOGLETRANSLATE(A2536, ""en"", ""fr"")"),"haie intégrée")</f>
        <v>haie intégrée</v>
      </c>
      <c r="Q2536" s="1" t="s">
        <v>14</v>
      </c>
      <c r="EF2536" s="1" t="s">
        <v>133</v>
      </c>
    </row>
    <row r="2537" spans="1:136" ht="14.25" customHeight="1" x14ac:dyDescent="0.3">
      <c r="A2537" s="1" t="s">
        <v>2678</v>
      </c>
      <c r="B2537" s="1" t="str">
        <f ca="1">IFERROR(__xludf.DUMMYFUNCTION("GOOGLETRANSLATE(A2537, ""en"", ""fr"")"),"INTÉGRITÉ")</f>
        <v>INTÉGRITÉ</v>
      </c>
      <c r="H2537" s="1" t="s">
        <v>4964</v>
      </c>
    </row>
    <row r="2538" spans="1:136" ht="14.25" customHeight="1" x14ac:dyDescent="0.3">
      <c r="A2538" s="1" t="s">
        <v>2679</v>
      </c>
      <c r="B2538" s="1" t="str">
        <f ca="1">IFERROR(__xludf.DUMMYFUNCTION("GOOGLETRANSLATE(A2538, ""en"", ""fr"")"),"Bien intelligent")</f>
        <v>Bien intelligent</v>
      </c>
      <c r="E2538" s="1" t="s">
        <v>3</v>
      </c>
    </row>
    <row r="2539" spans="1:136" ht="14.25" customHeight="1" x14ac:dyDescent="0.3">
      <c r="A2539" s="1" t="s">
        <v>2680</v>
      </c>
      <c r="B2539" s="1" t="str">
        <f ca="1">IFERROR(__xludf.DUMMYFUNCTION("GOOGLETRANSLATE(A2539, ""en"", ""fr"")"),"INTENTIONNEL")</f>
        <v>INTENTIONNEL</v>
      </c>
      <c r="D2539" s="1" t="s">
        <v>4963</v>
      </c>
    </row>
    <row r="2540" spans="1:136" ht="14.25" customHeight="1" x14ac:dyDescent="0.3">
      <c r="A2540" s="1" t="s">
        <v>2681</v>
      </c>
      <c r="B2540" s="1" t="str">
        <f ca="1">IFERROR(__xludf.DUMMYFUNCTION("GOOGLETRANSLATE(A2540, ""en"", ""fr"")"),"base d'intérêt")</f>
        <v>base d'intérêt</v>
      </c>
      <c r="CR2540" s="1" t="s">
        <v>93</v>
      </c>
    </row>
    <row r="2541" spans="1:136" ht="14.25" customHeight="1" x14ac:dyDescent="0.3">
      <c r="A2541" s="1" t="s">
        <v>2682</v>
      </c>
      <c r="B2541" s="1" t="str">
        <f ca="1">IFERROR(__xludf.DUMMYFUNCTION("GOOGLETRANSLATE(A2541, ""en"", ""fr"")"),"intérêts")</f>
        <v>intérêts</v>
      </c>
      <c r="CR2541" s="1" t="s">
        <v>93</v>
      </c>
    </row>
    <row r="2542" spans="1:136" ht="14.25" customHeight="1" x14ac:dyDescent="0.3">
      <c r="A2542" s="1" t="s">
        <v>2683</v>
      </c>
      <c r="B2542" s="1" t="str">
        <f ca="1">IFERROR(__xludf.DUMMYFUNCTION("GOOGLETRANSLATE(A2542, ""en"", ""fr"")"),"Le revenu d'intérêts")</f>
        <v>Le revenu d'intérêts</v>
      </c>
      <c r="CR2542" s="1" t="s">
        <v>93</v>
      </c>
    </row>
    <row r="2543" spans="1:136" ht="14.25" customHeight="1" x14ac:dyDescent="0.3">
      <c r="A2543" s="1" t="s">
        <v>2684</v>
      </c>
      <c r="B2543" s="1" t="str">
        <f ca="1">IFERROR(__xludf.DUMMYFUNCTION("GOOGLETRANSLATE(A2543, ""en"", ""fr"")"),"taux d'intérêt")</f>
        <v>taux d'intérêt</v>
      </c>
      <c r="CR2543" s="1" t="s">
        <v>93</v>
      </c>
    </row>
    <row r="2544" spans="1:136" ht="14.25" customHeight="1" x14ac:dyDescent="0.3">
      <c r="A2544" s="1" t="s">
        <v>2685</v>
      </c>
      <c r="B2544" s="1" t="str">
        <f ca="1">IFERROR(__xludf.DUMMYFUNCTION("GOOGLETRANSLATE(A2544, ""en"", ""fr"")"),"sensible au taux d'intérêt")</f>
        <v>sensible au taux d'intérêt</v>
      </c>
      <c r="M2544" s="1" t="s">
        <v>10</v>
      </c>
    </row>
    <row r="2545" spans="1:13" ht="14.25" customHeight="1" x14ac:dyDescent="0.3">
      <c r="A2545" s="1" t="s">
        <v>2686</v>
      </c>
      <c r="B2545" s="1" t="str">
        <f ca="1">IFERROR(__xludf.DUMMYFUNCTION("GOOGLETRANSLATE(A2545, ""en"", ""fr"")"),"INTERFÉRER")</f>
        <v>INTERFÉRER</v>
      </c>
      <c r="D2545" s="1" t="s">
        <v>4963</v>
      </c>
    </row>
    <row r="2546" spans="1:13" ht="14.25" customHeight="1" x14ac:dyDescent="0.3">
      <c r="A2546" s="1" t="s">
        <v>2687</v>
      </c>
      <c r="B2546" s="1" t="str">
        <f ca="1">IFERROR(__xludf.DUMMYFUNCTION("GOOGLETRANSLATE(A2546, ""en"", ""fr"")"),"Interféré")</f>
        <v>Interféré</v>
      </c>
      <c r="D2546" s="1" t="s">
        <v>4963</v>
      </c>
    </row>
    <row r="2547" spans="1:13" ht="14.25" customHeight="1" x14ac:dyDescent="0.3">
      <c r="A2547" s="1" t="s">
        <v>2688</v>
      </c>
      <c r="B2547" s="1" t="str">
        <f ca="1">IFERROR(__xludf.DUMMYFUNCTION("GOOGLETRANSLATE(A2547, ""en"", ""fr"")"),"INGÉRENCE")</f>
        <v>INGÉRENCE</v>
      </c>
      <c r="D2547" s="1" t="s">
        <v>4963</v>
      </c>
    </row>
    <row r="2548" spans="1:13" ht="14.25" customHeight="1" x14ac:dyDescent="0.3">
      <c r="A2548" s="1" t="s">
        <v>2689</v>
      </c>
      <c r="B2548" s="1" t="str">
        <f ca="1">IFERROR(__xludf.DUMMYFUNCTION("GOOGLETRANSLATE(A2548, ""en"", ""fr"")"),"Interférences")</f>
        <v>Interférences</v>
      </c>
      <c r="D2548" s="1" t="s">
        <v>4963</v>
      </c>
    </row>
    <row r="2549" spans="1:13" ht="14.25" customHeight="1" x14ac:dyDescent="0.3">
      <c r="A2549" s="1" t="s">
        <v>2690</v>
      </c>
      <c r="B2549" s="1" t="str">
        <f ca="1">IFERROR(__xludf.DUMMYFUNCTION("GOOGLETRANSLATE(A2549, ""en"", ""fr"")"),"Interférer")</f>
        <v>Interférer</v>
      </c>
      <c r="D2549" s="1" t="s">
        <v>4963</v>
      </c>
    </row>
    <row r="2550" spans="1:13" ht="14.25" customHeight="1" x14ac:dyDescent="0.3">
      <c r="A2550" s="1" t="s">
        <v>2691</v>
      </c>
      <c r="B2550" s="1" t="str">
        <f ca="1">IFERROR(__xludf.DUMMYFUNCTION("GOOGLETRANSLATE(A2550, ""en"", ""fr"")"),"Interférentes")</f>
        <v>Interférentes</v>
      </c>
      <c r="D2550" s="1" t="s">
        <v>4963</v>
      </c>
    </row>
    <row r="2551" spans="1:13" ht="14.25" customHeight="1" x14ac:dyDescent="0.3">
      <c r="A2551" s="1" t="s">
        <v>2692</v>
      </c>
      <c r="B2551" s="1" t="str">
        <f ca="1">IFERROR(__xludf.DUMMYFUNCTION("GOOGLETRANSLATE(A2551, ""en"", ""fr"")"),"INTERMITTENT")</f>
        <v>INTERMITTENT</v>
      </c>
      <c r="D2551" s="1" t="s">
        <v>4963</v>
      </c>
    </row>
    <row r="2552" spans="1:13" ht="14.25" customHeight="1" x14ac:dyDescent="0.3">
      <c r="A2552" s="1" t="s">
        <v>2693</v>
      </c>
      <c r="B2552" s="1" t="str">
        <f ca="1">IFERROR(__xludf.DUMMYFUNCTION("GOOGLETRANSLATE(A2552, ""en"", ""fr"")"),"Par intermittence")</f>
        <v>Par intermittence</v>
      </c>
      <c r="D2552" s="1" t="s">
        <v>4963</v>
      </c>
    </row>
    <row r="2553" spans="1:13" ht="14.25" customHeight="1" x14ac:dyDescent="0.3">
      <c r="A2553" s="1" t="s">
        <v>2694</v>
      </c>
      <c r="B2553" s="1" t="str">
        <f ca="1">IFERROR(__xludf.DUMMYFUNCTION("GOOGLETRANSLATE(A2553, ""en"", ""fr"")"),"Effet de pêcheur international")</f>
        <v>Effet de pêcheur international</v>
      </c>
      <c r="M2553" s="1" t="s">
        <v>10</v>
      </c>
    </row>
    <row r="2554" spans="1:13" ht="14.25" customHeight="1" x14ac:dyDescent="0.3">
      <c r="A2554" s="1" t="s">
        <v>2695</v>
      </c>
      <c r="B2554" s="1" t="str">
        <f ca="1">IFERROR(__xludf.DUMMYFUNCTION("GOOGLETRANSLATE(A2554, ""en"", ""fr"")"),"harmonisation internationale")</f>
        <v>harmonisation internationale</v>
      </c>
      <c r="M2554" s="1" t="s">
        <v>10</v>
      </c>
    </row>
    <row r="2555" spans="1:13" ht="14.25" customHeight="1" x14ac:dyDescent="0.3">
      <c r="A2555" s="1" t="s">
        <v>2696</v>
      </c>
      <c r="B2555" s="1" t="str">
        <f ca="1">IFERROR(__xludf.DUMMYFUNCTION("GOOGLETRANSLATE(A2555, ""en"", ""fr"")"),"Fond monétaire international")</f>
        <v>Fond monétaire international</v>
      </c>
      <c r="M2555" s="1" t="s">
        <v>10</v>
      </c>
    </row>
    <row r="2556" spans="1:13" ht="14.25" customHeight="1" x14ac:dyDescent="0.3">
      <c r="A2556" s="1" t="s">
        <v>2697</v>
      </c>
      <c r="B2556" s="1" t="str">
        <f ca="1">IFERROR(__xludf.DUMMYFUNCTION("GOOGLETRANSLATE(A2556, ""en"", ""fr"")"),"Marché monétaire international")</f>
        <v>Marché monétaire international</v>
      </c>
      <c r="M2556" s="1" t="s">
        <v>10</v>
      </c>
    </row>
    <row r="2557" spans="1:13" ht="14.25" customHeight="1" x14ac:dyDescent="0.3">
      <c r="A2557" s="1" t="s">
        <v>2698</v>
      </c>
      <c r="B2557" s="1" t="str">
        <f ca="1">IFERROR(__xludf.DUMMYFUNCTION("GOOGLETRANSLATE(A2557, ""en"", ""fr"")"),"déficit commercial international")</f>
        <v>déficit commercial international</v>
      </c>
      <c r="M2557" s="1" t="s">
        <v>10</v>
      </c>
    </row>
    <row r="2558" spans="1:13" ht="14.25" customHeight="1" x14ac:dyDescent="0.3">
      <c r="A2558" s="1" t="s">
        <v>2699</v>
      </c>
      <c r="B2558" s="1" t="str">
        <f ca="1">IFERROR(__xludf.DUMMYFUNCTION("GOOGLETRANSLATE(A2558, ""en"", ""fr"")"),"INTERROMPRE")</f>
        <v>INTERROMPRE</v>
      </c>
      <c r="D2558" s="1" t="s">
        <v>4963</v>
      </c>
    </row>
    <row r="2559" spans="1:13" ht="14.25" customHeight="1" x14ac:dyDescent="0.3">
      <c r="A2559" s="1" t="s">
        <v>2700</v>
      </c>
      <c r="B2559" s="1" t="str">
        <f ca="1">IFERROR(__xludf.DUMMYFUNCTION("GOOGLETRANSLATE(A2559, ""en"", ""fr"")"),"INTERROMPU")</f>
        <v>INTERROMPU</v>
      </c>
      <c r="D2559" s="1" t="s">
        <v>4963</v>
      </c>
    </row>
    <row r="2560" spans="1:13" ht="14.25" customHeight="1" x14ac:dyDescent="0.3">
      <c r="A2560" s="1" t="s">
        <v>2701</v>
      </c>
      <c r="B2560" s="1" t="str">
        <f ca="1">IFERROR(__xludf.DUMMYFUNCTION("GOOGLETRANSLATE(A2560, ""en"", ""fr"")"),"Interrompant")</f>
        <v>Interrompant</v>
      </c>
      <c r="D2560" s="1" t="s">
        <v>4963</v>
      </c>
    </row>
    <row r="2561" spans="1:96" ht="14.25" customHeight="1" x14ac:dyDescent="0.3">
      <c r="A2561" s="1" t="s">
        <v>2702</v>
      </c>
      <c r="B2561" s="1" t="str">
        <f ca="1">IFERROR(__xludf.DUMMYFUNCTION("GOOGLETRANSLATE(A2561, ""en"", ""fr"")"),"INTERRUPTION")</f>
        <v>INTERRUPTION</v>
      </c>
      <c r="D2561" s="1" t="s">
        <v>4963</v>
      </c>
    </row>
    <row r="2562" spans="1:96" ht="14.25" customHeight="1" x14ac:dyDescent="0.3">
      <c r="A2562" s="1" t="s">
        <v>2703</v>
      </c>
      <c r="B2562" s="1" t="str">
        <f ca="1">IFERROR(__xludf.DUMMYFUNCTION("GOOGLETRANSLATE(A2562, ""en"", ""fr"")"),"Interruptions")</f>
        <v>Interruptions</v>
      </c>
      <c r="D2562" s="1" t="s">
        <v>4963</v>
      </c>
    </row>
    <row r="2563" spans="1:96" ht="14.25" customHeight="1" x14ac:dyDescent="0.3">
      <c r="A2563" s="1" t="s">
        <v>2704</v>
      </c>
      <c r="B2563" s="1" t="str">
        <f ca="1">IFERROR(__xludf.DUMMYFUNCTION("GOOGLETRANSLATE(A2563, ""en"", ""fr"")"),"Interruptions")</f>
        <v>Interruptions</v>
      </c>
      <c r="D2563" s="1" t="s">
        <v>4963</v>
      </c>
    </row>
    <row r="2564" spans="1:96" ht="14.25" customHeight="1" x14ac:dyDescent="0.3">
      <c r="A2564" s="1" t="s">
        <v>2705</v>
      </c>
      <c r="B2564" s="1" t="str">
        <f ca="1">IFERROR(__xludf.DUMMYFUNCTION("GOOGLETRANSLATE(A2564, ""en"", ""fr"")"),"dans l'argent")</f>
        <v>dans l'argent</v>
      </c>
      <c r="CR2564" s="1" t="s">
        <v>93</v>
      </c>
    </row>
    <row r="2565" spans="1:96" ht="14.25" customHeight="1" x14ac:dyDescent="0.3">
      <c r="A2565" s="1" t="s">
        <v>2706</v>
      </c>
      <c r="B2565" s="1" t="str">
        <f ca="1">IFERROR(__xludf.DUMMYFUNCTION("GOOGLETRANSLATE(A2565, ""en"", ""fr"")"),"INTIMIDATION")</f>
        <v>INTIMIDATION</v>
      </c>
      <c r="D2565" s="1" t="s">
        <v>4963</v>
      </c>
    </row>
    <row r="2566" spans="1:96" ht="14.25" customHeight="1" x14ac:dyDescent="0.3">
      <c r="A2566" s="1" t="s">
        <v>2707</v>
      </c>
      <c r="B2566" s="1" t="str">
        <f ca="1">IFERROR(__xludf.DUMMYFUNCTION("GOOGLETRANSLATE(A2566, ""en"", ""fr"")"),"dans")</f>
        <v>dans</v>
      </c>
      <c r="J2566" s="1" t="s">
        <v>7</v>
      </c>
    </row>
    <row r="2567" spans="1:96" ht="14.25" customHeight="1" x14ac:dyDescent="0.3">
      <c r="A2567" s="1" t="s">
        <v>2708</v>
      </c>
      <c r="B2567" s="1" t="str">
        <f ca="1">IFERROR(__xludf.DUMMYFUNCTION("GOOGLETRANSLATE(A2567, ""en"", ""fr"")"),"INTRUSION")</f>
        <v>INTRUSION</v>
      </c>
      <c r="D2567" s="1" t="s">
        <v>4963</v>
      </c>
    </row>
    <row r="2568" spans="1:96" ht="14.25" customHeight="1" x14ac:dyDescent="0.3">
      <c r="A2568" s="1" t="s">
        <v>2709</v>
      </c>
      <c r="B2568" s="1" t="str">
        <f ca="1">IFERROR(__xludf.DUMMYFUNCTION("GOOGLETRANSLATE(A2568, ""en"", ""fr"")"),"INVALIDE")</f>
        <v>INVALIDE</v>
      </c>
      <c r="D2568" s="1" t="s">
        <v>4963</v>
      </c>
    </row>
    <row r="2569" spans="1:96" ht="14.25" customHeight="1" x14ac:dyDescent="0.3">
      <c r="A2569" s="1" t="s">
        <v>2710</v>
      </c>
      <c r="B2569" s="1" t="str">
        <f ca="1">IFERROR(__xludf.DUMMYFUNCTION("GOOGLETRANSLATE(A2569, ""en"", ""fr"")"),"INVALIDER")</f>
        <v>INVALIDER</v>
      </c>
      <c r="D2569" s="1" t="s">
        <v>4963</v>
      </c>
    </row>
    <row r="2570" spans="1:96" ht="14.25" customHeight="1" x14ac:dyDescent="0.3">
      <c r="A2570" s="1" t="s">
        <v>2711</v>
      </c>
      <c r="B2570" s="1" t="str">
        <f ca="1">IFERROR(__xludf.DUMMYFUNCTION("GOOGLETRANSLATE(A2570, ""en"", ""fr"")"),"Invalidé")</f>
        <v>Invalidé</v>
      </c>
      <c r="D2570" s="1" t="s">
        <v>4963</v>
      </c>
    </row>
    <row r="2571" spans="1:96" ht="14.25" customHeight="1" x14ac:dyDescent="0.3">
      <c r="A2571" s="1" t="s">
        <v>2712</v>
      </c>
      <c r="B2571" s="1" t="str">
        <f ca="1">IFERROR(__xludf.DUMMYFUNCTION("GOOGLETRANSLATE(A2571, ""en"", ""fr"")"),"Invalider")</f>
        <v>Invalider</v>
      </c>
      <c r="D2571" s="1" t="s">
        <v>4963</v>
      </c>
    </row>
    <row r="2572" spans="1:96" ht="14.25" customHeight="1" x14ac:dyDescent="0.3">
      <c r="A2572" s="1" t="s">
        <v>2713</v>
      </c>
      <c r="B2572" s="1" t="str">
        <f ca="1">IFERROR(__xludf.DUMMYFUNCTION("GOOGLETRANSLATE(A2572, ""en"", ""fr"")"),"Invalidant")</f>
        <v>Invalidant</v>
      </c>
      <c r="D2572" s="1" t="s">
        <v>4963</v>
      </c>
    </row>
    <row r="2573" spans="1:96" ht="14.25" customHeight="1" x14ac:dyDescent="0.3">
      <c r="A2573" s="1" t="s">
        <v>2714</v>
      </c>
      <c r="B2573" s="1" t="str">
        <f ca="1">IFERROR(__xludf.DUMMYFUNCTION("GOOGLETRANSLATE(A2573, ""en"", ""fr"")"),"ANNULATION")</f>
        <v>ANNULATION</v>
      </c>
      <c r="D2573" s="1" t="s">
        <v>4963</v>
      </c>
    </row>
    <row r="2574" spans="1:96" ht="14.25" customHeight="1" x14ac:dyDescent="0.3">
      <c r="A2574" s="1" t="s">
        <v>2715</v>
      </c>
      <c r="B2574" s="1" t="str">
        <f ca="1">IFERROR(__xludf.DUMMYFUNCTION("GOOGLETRANSLATE(A2574, ""en"", ""fr"")"),"INVALIDITÉ")</f>
        <v>INVALIDITÉ</v>
      </c>
      <c r="D2574" s="1" t="s">
        <v>4963</v>
      </c>
    </row>
    <row r="2575" spans="1:96" ht="14.25" customHeight="1" x14ac:dyDescent="0.3">
      <c r="A2575" s="1" t="s">
        <v>2716</v>
      </c>
      <c r="B2575" s="1" t="str">
        <f ca="1">IFERROR(__xludf.DUMMYFUNCTION("GOOGLETRANSLATE(A2575, ""en"", ""fr"")"),"INVENTER")</f>
        <v>INVENTER</v>
      </c>
      <c r="H2575" s="1" t="s">
        <v>4964</v>
      </c>
    </row>
    <row r="2576" spans="1:96" ht="14.25" customHeight="1" x14ac:dyDescent="0.3">
      <c r="A2576" s="1" t="s">
        <v>2717</v>
      </c>
      <c r="B2576" s="1" t="str">
        <f ca="1">IFERROR(__xludf.DUMMYFUNCTION("GOOGLETRANSLATE(A2576, ""en"", ""fr"")"),"A INVENTÉ")</f>
        <v>A INVENTÉ</v>
      </c>
      <c r="H2576" s="1" t="s">
        <v>4964</v>
      </c>
    </row>
    <row r="2577" spans="1:96" ht="14.25" customHeight="1" x14ac:dyDescent="0.3">
      <c r="A2577" s="1" t="s">
        <v>2718</v>
      </c>
      <c r="B2577" s="1" t="str">
        <f ca="1">IFERROR(__xludf.DUMMYFUNCTION("GOOGLETRANSLATE(A2577, ""en"", ""fr"")"),"Inventé")</f>
        <v>Inventé</v>
      </c>
      <c r="H2577" s="1" t="s">
        <v>4964</v>
      </c>
    </row>
    <row r="2578" spans="1:96" ht="14.25" customHeight="1" x14ac:dyDescent="0.3">
      <c r="A2578" s="1" t="s">
        <v>2719</v>
      </c>
      <c r="B2578" s="1" t="str">
        <f ca="1">IFERROR(__xludf.DUMMYFUNCTION("GOOGLETRANSLATE(A2578, ""en"", ""fr"")"),"INVENTION")</f>
        <v>INVENTION</v>
      </c>
      <c r="H2578" s="1" t="s">
        <v>4964</v>
      </c>
    </row>
    <row r="2579" spans="1:96" ht="14.25" customHeight="1" x14ac:dyDescent="0.3">
      <c r="A2579" s="1" t="s">
        <v>2720</v>
      </c>
      <c r="B2579" s="1" t="str">
        <f ca="1">IFERROR(__xludf.DUMMYFUNCTION("GOOGLETRANSLATE(A2579, ""en"", ""fr"")"),"Inventions")</f>
        <v>Inventions</v>
      </c>
      <c r="H2579" s="1" t="s">
        <v>4964</v>
      </c>
    </row>
    <row r="2580" spans="1:96" ht="14.25" customHeight="1" x14ac:dyDescent="0.3">
      <c r="A2580" s="1" t="s">
        <v>2721</v>
      </c>
      <c r="B2580" s="1" t="str">
        <f ca="1">IFERROR(__xludf.DUMMYFUNCTION("GOOGLETRANSLATE(A2580, ""en"", ""fr"")"),"INVENTIF")</f>
        <v>INVENTIF</v>
      </c>
      <c r="H2580" s="1" t="s">
        <v>4964</v>
      </c>
    </row>
    <row r="2581" spans="1:96" ht="14.25" customHeight="1" x14ac:dyDescent="0.3">
      <c r="A2581" s="1" t="s">
        <v>2722</v>
      </c>
      <c r="B2581" s="1" t="str">
        <f ca="1">IFERROR(__xludf.DUMMYFUNCTION("GOOGLETRANSLATE(A2581, ""en"", ""fr"")"),"INGÉNIOSITÉ")</f>
        <v>INGÉNIOSITÉ</v>
      </c>
      <c r="H2581" s="1" t="s">
        <v>4964</v>
      </c>
    </row>
    <row r="2582" spans="1:96" ht="14.25" customHeight="1" x14ac:dyDescent="0.3">
      <c r="A2582" s="1" t="s">
        <v>2723</v>
      </c>
      <c r="B2582" s="1" t="str">
        <f ca="1">IFERROR(__xludf.DUMMYFUNCTION("GOOGLETRANSLATE(A2582, ""en"", ""fr"")"),"INVENTEUR")</f>
        <v>INVENTEUR</v>
      </c>
      <c r="H2582" s="1" t="s">
        <v>4964</v>
      </c>
    </row>
    <row r="2583" spans="1:96" ht="14.25" customHeight="1" x14ac:dyDescent="0.3">
      <c r="A2583" s="1" t="s">
        <v>2724</v>
      </c>
      <c r="B2583" s="1" t="str">
        <f ca="1">IFERROR(__xludf.DUMMYFUNCTION("GOOGLETRANSLATE(A2583, ""en"", ""fr"")"),"Inventeurs")</f>
        <v>Inventeurs</v>
      </c>
      <c r="H2583" s="1" t="s">
        <v>4964</v>
      </c>
    </row>
    <row r="2584" spans="1:96" ht="14.25" customHeight="1" x14ac:dyDescent="0.3">
      <c r="A2584" s="1" t="s">
        <v>2725</v>
      </c>
      <c r="B2584" s="1" t="str">
        <f ca="1">IFERROR(__xludf.DUMMYFUNCTION("GOOGLETRANSLATE(A2584, ""en"", ""fr"")"),"inventaire")</f>
        <v>inventaire</v>
      </c>
      <c r="CR2584" s="1" t="s">
        <v>93</v>
      </c>
    </row>
    <row r="2585" spans="1:96" ht="14.25" customHeight="1" x14ac:dyDescent="0.3">
      <c r="A2585" s="1" t="s">
        <v>2726</v>
      </c>
      <c r="B2585" s="1" t="str">
        <f ca="1">IFERROR(__xludf.DUMMYFUNCTION("GOOGLETRANSLATE(A2585, ""en"", ""fr"")"),"cibles d'inventaire")</f>
        <v>cibles d'inventaire</v>
      </c>
      <c r="CR2585" s="1" t="s">
        <v>93</v>
      </c>
    </row>
    <row r="2586" spans="1:96" ht="14.25" customHeight="1" x14ac:dyDescent="0.3">
      <c r="A2586" s="1" t="s">
        <v>2727</v>
      </c>
      <c r="B2586" s="1" t="str">
        <f ca="1">IFERROR(__xludf.DUMMYFUNCTION("GOOGLETRANSLATE(A2586, ""en"", ""fr"")"),"inventaire tourne")</f>
        <v>inventaire tourne</v>
      </c>
      <c r="CR2586" s="1" t="s">
        <v>93</v>
      </c>
    </row>
    <row r="2587" spans="1:96" ht="14.25" customHeight="1" x14ac:dyDescent="0.3">
      <c r="A2587" s="1" t="s">
        <v>2728</v>
      </c>
      <c r="B2587" s="1" t="str">
        <f ca="1">IFERROR(__xludf.DUMMYFUNCTION("GOOGLETRANSLATE(A2587, ""en"", ""fr"")"),"ENQUÊTER")</f>
        <v>ENQUÊTER</v>
      </c>
      <c r="D2587" s="1" t="s">
        <v>4963</v>
      </c>
    </row>
    <row r="2588" spans="1:96" ht="14.25" customHeight="1" x14ac:dyDescent="0.3">
      <c r="A2588" s="1" t="s">
        <v>2729</v>
      </c>
      <c r="B2588" s="1" t="str">
        <f ca="1">IFERROR(__xludf.DUMMYFUNCTION("GOOGLETRANSLATE(A2588, ""en"", ""fr"")"),"Enquêté")</f>
        <v>Enquêté</v>
      </c>
      <c r="D2588" s="1" t="s">
        <v>4963</v>
      </c>
    </row>
    <row r="2589" spans="1:96" ht="14.25" customHeight="1" x14ac:dyDescent="0.3">
      <c r="A2589" s="1" t="s">
        <v>2730</v>
      </c>
      <c r="B2589" s="1" t="str">
        <f ca="1">IFERROR(__xludf.DUMMYFUNCTION("GOOGLETRANSLATE(A2589, ""en"", ""fr"")"),"Enquêtement")</f>
        <v>Enquêtement</v>
      </c>
      <c r="D2589" s="1" t="s">
        <v>4963</v>
      </c>
    </row>
    <row r="2590" spans="1:96" ht="14.25" customHeight="1" x14ac:dyDescent="0.3">
      <c r="A2590" s="1" t="s">
        <v>2731</v>
      </c>
      <c r="B2590" s="1" t="str">
        <f ca="1">IFERROR(__xludf.DUMMYFUNCTION("GOOGLETRANSLATE(A2590, ""en"", ""fr"")"),"Enquêteur")</f>
        <v>Enquêteur</v>
      </c>
      <c r="D2590" s="1" t="s">
        <v>4963</v>
      </c>
    </row>
    <row r="2591" spans="1:96" ht="14.25" customHeight="1" x14ac:dyDescent="0.3">
      <c r="A2591" s="1" t="s">
        <v>2732</v>
      </c>
      <c r="B2591" s="1" t="str">
        <f ca="1">IFERROR(__xludf.DUMMYFUNCTION("GOOGLETRANSLATE(A2591, ""en"", ""fr"")"),"ENQUÊTE")</f>
        <v>ENQUÊTE</v>
      </c>
      <c r="D2591" s="1" t="s">
        <v>4963</v>
      </c>
    </row>
    <row r="2592" spans="1:96" ht="14.25" customHeight="1" x14ac:dyDescent="0.3">
      <c r="A2592" s="1" t="s">
        <v>2733</v>
      </c>
      <c r="B2592" s="1" t="str">
        <f ca="1">IFERROR(__xludf.DUMMYFUNCTION("GOOGLETRANSLATE(A2592, ""en"", ""fr"")"),"Enquêtes")</f>
        <v>Enquêtes</v>
      </c>
      <c r="D2592" s="1" t="s">
        <v>4963</v>
      </c>
    </row>
    <row r="2593" spans="1:124" ht="14.25" customHeight="1" x14ac:dyDescent="0.3">
      <c r="A2593" s="1" t="s">
        <v>2734</v>
      </c>
      <c r="B2593" s="1" t="str">
        <f ca="1">IFERROR(__xludf.DUMMYFUNCTION("GOOGLETRANSLATE(A2593, ""en"", ""fr"")"),"investissement")</f>
        <v>investissement</v>
      </c>
      <c r="CR2593" s="1" t="s">
        <v>93</v>
      </c>
    </row>
    <row r="2594" spans="1:124" ht="14.25" customHeight="1" x14ac:dyDescent="0.3">
      <c r="A2594" s="1" t="s">
        <v>2735</v>
      </c>
      <c r="B2594" s="1" t="str">
        <f ca="1">IFERROR(__xludf.DUMMYFUNCTION("GOOGLETRANSLATE(A2594, ""en"", ""fr"")"),"climat d'investissement")</f>
        <v>climat d'investissement</v>
      </c>
      <c r="M2594" s="1" t="s">
        <v>10</v>
      </c>
    </row>
    <row r="2595" spans="1:124" ht="14.25" customHeight="1" x14ac:dyDescent="0.3">
      <c r="A2595" s="1" t="s">
        <v>2736</v>
      </c>
      <c r="B2595" s="1" t="str">
        <f ca="1">IFERROR(__xludf.DUMMYFUNCTION("GOOGLETRANSLATE(A2595, ""en"", ""fr"")"),"multiplicateur d'investissement")</f>
        <v>multiplicateur d'investissement</v>
      </c>
      <c r="M2595" s="1" t="s">
        <v>10</v>
      </c>
    </row>
    <row r="2596" spans="1:124" ht="14.25" customHeight="1" x14ac:dyDescent="0.3">
      <c r="A2596" s="1" t="s">
        <v>2737</v>
      </c>
      <c r="B2596" s="1" t="str">
        <f ca="1">IFERROR(__xludf.DUMMYFUNCTION("GOOGLETRANSLATE(A2596, ""en"", ""fr"")"),"main invisible")</f>
        <v>main invisible</v>
      </c>
      <c r="M2596" s="1" t="s">
        <v>10</v>
      </c>
    </row>
    <row r="2597" spans="1:124" ht="14.25" customHeight="1" x14ac:dyDescent="0.3">
      <c r="A2597" s="1" t="s">
        <v>2738</v>
      </c>
      <c r="B2597" s="1" t="str">
        <f ca="1">IFERROR(__xludf.DUMMYFUNCTION("GOOGLETRANSLATE(A2597, ""en"", ""fr"")"),"marché dur invisible")</f>
        <v>marché dur invisible</v>
      </c>
      <c r="M2597" s="1" t="s">
        <v>10</v>
      </c>
    </row>
    <row r="2598" spans="1:124" ht="14.25" customHeight="1" x14ac:dyDescent="0.3">
      <c r="A2598" s="1" t="s">
        <v>2739</v>
      </c>
      <c r="B2598" s="1" t="str">
        <f ca="1">IFERROR(__xludf.DUMMYFUNCTION("GOOGLETRANSLATE(A2598, ""en"", ""fr"")"),"INVOLONTAIREMENT")</f>
        <v>INVOLONTAIREMENT</v>
      </c>
      <c r="D2598" s="1" t="s">
        <v>4963</v>
      </c>
    </row>
    <row r="2599" spans="1:124" ht="14.25" customHeight="1" x14ac:dyDescent="0.3">
      <c r="A2599" s="1" t="s">
        <v>2740</v>
      </c>
      <c r="B2599" s="1" t="str">
        <f ca="1">IFERROR(__xludf.DUMMYFUNCTION("GOOGLETRANSLATE(A2599, ""en"", ""fr"")"),"INVOLONTAIRE")</f>
        <v>INVOLONTAIRE</v>
      </c>
      <c r="D2599" s="1" t="s">
        <v>4963</v>
      </c>
    </row>
    <row r="2600" spans="1:124" ht="14.25" customHeight="1" x14ac:dyDescent="0.3">
      <c r="A2600" s="1" t="s">
        <v>2741</v>
      </c>
      <c r="B2600" s="1" t="str">
        <f ca="1">IFERROR(__xludf.DUMMYFUNCTION("GOOGLETRANSLATE(A2600, ""en"", ""fr"")"),"CIO")</f>
        <v>CIO</v>
      </c>
      <c r="X2600" s="1" t="s">
        <v>21</v>
      </c>
      <c r="AM2600" s="1" t="s">
        <v>36</v>
      </c>
      <c r="CI2600" s="1" t="s">
        <v>84</v>
      </c>
      <c r="DT2600" s="1" t="s">
        <v>121</v>
      </c>
    </row>
    <row r="2601" spans="1:124" ht="14.25" customHeight="1" x14ac:dyDescent="0.3">
      <c r="A2601" s="1" t="s">
        <v>2742</v>
      </c>
      <c r="B2601" s="1" t="str">
        <f ca="1">IFERROR(__xludf.DUMMYFUNCTION("GOOGLETRANSLATE(A2601, ""en"", ""fr"")"),"l'Iran")</f>
        <v>l'Iran</v>
      </c>
      <c r="BT2601" s="1" t="s">
        <v>69</v>
      </c>
      <c r="CL2601" s="1" t="s">
        <v>87</v>
      </c>
    </row>
    <row r="2602" spans="1:124" ht="14.25" customHeight="1" x14ac:dyDescent="0.3">
      <c r="A2602" s="1" t="s">
        <v>2743</v>
      </c>
      <c r="B2602" s="1" t="str">
        <f ca="1">IFERROR(__xludf.DUMMYFUNCTION("GOOGLETRANSLATE(A2602, ""en"", ""fr"")"),"Iran lourd")</f>
        <v>Iran lourd</v>
      </c>
      <c r="R2602" s="1" t="s">
        <v>15</v>
      </c>
      <c r="CS2602" s="1" t="s">
        <v>94</v>
      </c>
    </row>
    <row r="2603" spans="1:124" ht="14.25" customHeight="1" x14ac:dyDescent="0.3">
      <c r="A2603" s="1" t="s">
        <v>2744</v>
      </c>
      <c r="B2603" s="1" t="str">
        <f ca="1">IFERROR(__xludf.DUMMYFUNCTION("GOOGLETRANSLATE(A2603, ""en"", ""fr"")"),"Lumière iranienne")</f>
        <v>Lumière iranienne</v>
      </c>
      <c r="R2603" s="1" t="s">
        <v>15</v>
      </c>
      <c r="CS2603" s="1" t="s">
        <v>94</v>
      </c>
    </row>
    <row r="2604" spans="1:124" ht="14.25" customHeight="1" x14ac:dyDescent="0.3">
      <c r="A2604" s="1" t="s">
        <v>2745</v>
      </c>
      <c r="B2604" s="1" t="str">
        <f ca="1">IFERROR(__xludf.DUMMYFUNCTION("GOOGLETRANSLATE(A2604, ""en"", ""fr"")"),"Irak")</f>
        <v>Irak</v>
      </c>
      <c r="CG2604" s="1" t="s">
        <v>82</v>
      </c>
      <c r="CL2604" s="1" t="s">
        <v>87</v>
      </c>
    </row>
    <row r="2605" spans="1:124" ht="14.25" customHeight="1" x14ac:dyDescent="0.3">
      <c r="A2605" s="1" t="s">
        <v>2746</v>
      </c>
      <c r="B2605" s="1" t="str">
        <f ca="1">IFERROR(__xludf.DUMMYFUNCTION("GOOGLETRANSLATE(A2605, ""en"", ""fr"")"),"pétrole national en Irak")</f>
        <v>pétrole national en Irak</v>
      </c>
      <c r="CG2605" s="1" t="s">
        <v>82</v>
      </c>
      <c r="CL2605" s="1" t="s">
        <v>87</v>
      </c>
      <c r="DQ2605" s="1" t="s">
        <v>118</v>
      </c>
      <c r="DT2605" s="1" t="s">
        <v>121</v>
      </c>
    </row>
    <row r="2606" spans="1:124" ht="14.25" customHeight="1" x14ac:dyDescent="0.3">
      <c r="A2606" s="1" t="s">
        <v>2747</v>
      </c>
      <c r="B2606" s="1" t="str">
        <f ca="1">IFERROR(__xludf.DUMMYFUNCTION("GOOGLETRANSLATE(A2606, ""en"", ""fr"")"),"pétrole national irakien")</f>
        <v>pétrole national irakien</v>
      </c>
      <c r="CG2606" s="1" t="s">
        <v>82</v>
      </c>
      <c r="CL2606" s="1" t="s">
        <v>87</v>
      </c>
      <c r="DQ2606" s="1" t="s">
        <v>118</v>
      </c>
      <c r="DT2606" s="1" t="s">
        <v>121</v>
      </c>
    </row>
    <row r="2607" spans="1:124" ht="14.25" customHeight="1" x14ac:dyDescent="0.3">
      <c r="A2607" s="1" t="s">
        <v>2748</v>
      </c>
      <c r="B2607" s="1" t="str">
        <f ca="1">IFERROR(__xludf.DUMMYFUNCTION("GOOGLETRANSLATE(A2607, ""en"", ""fr"")"),"fer")</f>
        <v>fer</v>
      </c>
      <c r="G2607" s="1" t="s">
        <v>5</v>
      </c>
    </row>
    <row r="2608" spans="1:124" ht="14.25" customHeight="1" x14ac:dyDescent="0.3">
      <c r="A2608" s="1" t="s">
        <v>2749</v>
      </c>
      <c r="B2608" s="1" t="str">
        <f ca="1">IFERROR(__xludf.DUMMYFUNCTION("GOOGLETRANSLATE(A2608, ""en"", ""fr"")"),"IRRÉCONCILIABLE")</f>
        <v>IRRÉCONCILIABLE</v>
      </c>
      <c r="D2608" s="1" t="s">
        <v>4963</v>
      </c>
    </row>
    <row r="2609" spans="1:132" ht="14.25" customHeight="1" x14ac:dyDescent="0.3">
      <c r="A2609" s="1" t="s">
        <v>2750</v>
      </c>
      <c r="B2609" s="1" t="str">
        <f ca="1">IFERROR(__xludf.DUMMYFUNCTION("GOOGLETRANSLATE(A2609, ""en"", ""fr"")"),"Irréconciliablement")</f>
        <v>Irréconciliablement</v>
      </c>
      <c r="D2609" s="1" t="s">
        <v>4963</v>
      </c>
    </row>
    <row r="2610" spans="1:132" ht="14.25" customHeight="1" x14ac:dyDescent="0.3">
      <c r="A2610" s="1" t="s">
        <v>2751</v>
      </c>
      <c r="B2610" s="1" t="str">
        <f ca="1">IFERROR(__xludf.DUMMYFUNCTION("GOOGLETRANSLATE(A2610, ""en"", ""fr"")"),"IRRÉCUPÉRABLE")</f>
        <v>IRRÉCUPÉRABLE</v>
      </c>
      <c r="D2610" s="1" t="s">
        <v>4963</v>
      </c>
    </row>
    <row r="2611" spans="1:132" ht="14.25" customHeight="1" x14ac:dyDescent="0.3">
      <c r="A2611" s="1" t="s">
        <v>2752</v>
      </c>
      <c r="B2611" s="1" t="str">
        <f ca="1">IFERROR(__xludf.DUMMYFUNCTION("GOOGLETRANSLATE(A2611, ""en"", ""fr"")"),"De façon irrémédiablement")</f>
        <v>De façon irrémédiablement</v>
      </c>
      <c r="D2611" s="1" t="s">
        <v>4963</v>
      </c>
    </row>
    <row r="2612" spans="1:132" ht="14.25" customHeight="1" x14ac:dyDescent="0.3">
      <c r="A2612" s="1" t="s">
        <v>2753</v>
      </c>
      <c r="B2612" s="1" t="str">
        <f ca="1">IFERROR(__xludf.DUMMYFUNCTION("GOOGLETRANSLATE(A2612, ""en"", ""fr"")"),"IRRÉGULIER")</f>
        <v>IRRÉGULIER</v>
      </c>
      <c r="D2612" s="1" t="s">
        <v>4963</v>
      </c>
    </row>
    <row r="2613" spans="1:132" ht="14.25" customHeight="1" x14ac:dyDescent="0.3">
      <c r="A2613" s="1" t="s">
        <v>2754</v>
      </c>
      <c r="B2613" s="1" t="str">
        <f ca="1">IFERROR(__xludf.DUMMYFUNCTION("GOOGLETRANSLATE(A2613, ""en"", ""fr"")"),"Irrégularités")</f>
        <v>Irrégularités</v>
      </c>
      <c r="D2613" s="1" t="s">
        <v>4963</v>
      </c>
    </row>
    <row r="2614" spans="1:132" ht="14.25" customHeight="1" x14ac:dyDescent="0.3">
      <c r="A2614" s="1" t="s">
        <v>2755</v>
      </c>
      <c r="B2614" s="1" t="str">
        <f ca="1">IFERROR(__xludf.DUMMYFUNCTION("GOOGLETRANSLATE(A2614, ""en"", ""fr"")"),"IRRÉGULARITÉ")</f>
        <v>IRRÉGULARITÉ</v>
      </c>
      <c r="D2614" s="1" t="s">
        <v>4963</v>
      </c>
    </row>
    <row r="2615" spans="1:132" ht="14.25" customHeight="1" x14ac:dyDescent="0.3">
      <c r="A2615" s="1" t="s">
        <v>2756</v>
      </c>
      <c r="B2615" s="1" t="str">
        <f ca="1">IFERROR(__xludf.DUMMYFUNCTION("GOOGLETRANSLATE(A2615, ""en"", ""fr"")"),"IRRÉGULIÈREMENT")</f>
        <v>IRRÉGULIÈREMENT</v>
      </c>
      <c r="D2615" s="1" t="s">
        <v>4963</v>
      </c>
    </row>
    <row r="2616" spans="1:132" ht="14.25" customHeight="1" x14ac:dyDescent="0.3">
      <c r="A2616" s="1" t="s">
        <v>2757</v>
      </c>
      <c r="B2616" s="1" t="str">
        <f ca="1">IFERROR(__xludf.DUMMYFUNCTION("GOOGLETRANSLATE(A2616, ""en"", ""fr"")"),"IRRÉPARABLE")</f>
        <v>IRRÉPARABLE</v>
      </c>
      <c r="D2616" s="1" t="s">
        <v>4963</v>
      </c>
    </row>
    <row r="2617" spans="1:132" ht="14.25" customHeight="1" x14ac:dyDescent="0.3">
      <c r="A2617" s="1" t="s">
        <v>2758</v>
      </c>
      <c r="B2617" s="1" t="str">
        <f ca="1">IFERROR(__xludf.DUMMYFUNCTION("GOOGLETRANSLATE(A2617, ""en"", ""fr"")"),"Irrémédiablement")</f>
        <v>Irrémédiablement</v>
      </c>
      <c r="D2617" s="1" t="s">
        <v>4963</v>
      </c>
    </row>
    <row r="2618" spans="1:132" ht="14.25" customHeight="1" x14ac:dyDescent="0.3">
      <c r="A2618" s="1" t="s">
        <v>2759</v>
      </c>
      <c r="B2618" s="1" t="str">
        <f ca="1">IFERROR(__xludf.DUMMYFUNCTION("GOOGLETRANSLATE(A2618, ""en"", ""fr"")"),"IRRÉVERSIBLE")</f>
        <v>IRRÉVERSIBLE</v>
      </c>
      <c r="D2618" s="1" t="s">
        <v>4963</v>
      </c>
    </row>
    <row r="2619" spans="1:132" ht="14.25" customHeight="1" x14ac:dyDescent="0.3">
      <c r="A2619" s="1" t="s">
        <v>2760</v>
      </c>
      <c r="B2619" s="1" t="str">
        <f ca="1">IFERROR(__xludf.DUMMYFUNCTION("GOOGLETRANSLATE(A2619, ""en"", ""fr"")"),"huile d'Irving")</f>
        <v>huile d'Irving</v>
      </c>
      <c r="AE2619" s="1" t="s">
        <v>28</v>
      </c>
      <c r="BI2619" s="1" t="s">
        <v>58</v>
      </c>
      <c r="BO2619" s="1" t="s">
        <v>64</v>
      </c>
      <c r="DT2619" s="1" t="s">
        <v>121</v>
      </c>
    </row>
    <row r="2620" spans="1:132" ht="14.25" customHeight="1" x14ac:dyDescent="0.3">
      <c r="A2620" s="1" t="s">
        <v>2761</v>
      </c>
      <c r="B2620" s="1" t="str">
        <f ca="1">IFERROR(__xludf.DUMMYFUNCTION("GOOGLETRANSLATE(A2620, ""en"", ""fr"")"),"est")</f>
        <v>est</v>
      </c>
      <c r="J2620" s="1" t="s">
        <v>7</v>
      </c>
    </row>
    <row r="2621" spans="1:132" ht="14.25" customHeight="1" x14ac:dyDescent="0.3">
      <c r="A2621" s="1" t="s">
        <v>2762</v>
      </c>
      <c r="B2621" s="1" t="str">
        <f ca="1">IFERROR(__xludf.DUMMYFUNCTION("GOOGLETRANSLATE(A2621, ""en"", ""fr"")"),"raffinerie d'huile d'Isfahan")</f>
        <v>raffinerie d'huile d'Isfahan</v>
      </c>
      <c r="BF2621" s="1" t="s">
        <v>55</v>
      </c>
      <c r="BT2621" s="1" t="s">
        <v>69</v>
      </c>
      <c r="CA2621" s="1" t="s">
        <v>76</v>
      </c>
      <c r="CL2621" s="1" t="s">
        <v>87</v>
      </c>
      <c r="EB2621" s="1" t="s">
        <v>129</v>
      </c>
    </row>
    <row r="2622" spans="1:132" ht="14.25" customHeight="1" x14ac:dyDescent="0.3">
      <c r="A2622" s="1" t="s">
        <v>2763</v>
      </c>
      <c r="B2622" s="1" t="str">
        <f ca="1">IFERROR(__xludf.DUMMYFUNCTION("GOOGLETRANSLATE(A2622, ""en"", ""fr"")"),"ism")</f>
        <v>ism</v>
      </c>
      <c r="M2622" s="1" t="s">
        <v>10</v>
      </c>
    </row>
    <row r="2623" spans="1:132" ht="14.25" customHeight="1" x14ac:dyDescent="0.3">
      <c r="A2623" s="1" t="s">
        <v>2764</v>
      </c>
      <c r="B2623" s="1" t="str">
        <f ca="1">IFERROR(__xludf.DUMMYFUNCTION("GOOGLETRANSLATE(A2623, ""en"", ""fr"")"),"Index de fabrication ISM")</f>
        <v>Index de fabrication ISM</v>
      </c>
      <c r="M2623" s="1" t="s">
        <v>10</v>
      </c>
    </row>
    <row r="2624" spans="1:132" ht="14.25" customHeight="1" x14ac:dyDescent="0.3">
      <c r="A2624" s="1" t="s">
        <v>2765</v>
      </c>
      <c r="B2624" s="1" t="str">
        <f ca="1">IFERROR(__xludf.DUMMYFUNCTION("GOOGLETRANSLATE(A2624, ""en"", ""fr"")"),"Rapport de fabrication de l'ISM sur les affaires")</f>
        <v>Rapport de fabrication de l'ISM sur les affaires</v>
      </c>
      <c r="M2624" s="1" t="s">
        <v>10</v>
      </c>
    </row>
    <row r="2625" spans="1:141" ht="14.25" customHeight="1" x14ac:dyDescent="0.3">
      <c r="A2625" s="1" t="s">
        <v>2766</v>
      </c>
      <c r="B2625" s="1" t="str">
        <f ca="1">IFERROR(__xludf.DUMMYFUNCTION("GOOGLETRANSLATE(A2625, ""en"", ""fr"")"),"Rapport de non-fabrication de l'ISM sur les affaires")</f>
        <v>Rapport de non-fabrication de l'ISM sur les affaires</v>
      </c>
      <c r="M2625" s="1" t="s">
        <v>10</v>
      </c>
    </row>
    <row r="2626" spans="1:141" ht="14.25" customHeight="1" x14ac:dyDescent="0.3">
      <c r="A2626" s="1" t="s">
        <v>2767</v>
      </c>
      <c r="B2626" s="1" t="str">
        <f ca="1">IFERROR(__xludf.DUMMYFUNCTION("GOOGLETRANSLATE(A2626, ""en"", ""fr"")"),"Isthme")</f>
        <v>Isthme</v>
      </c>
      <c r="R2626" s="1" t="s">
        <v>15</v>
      </c>
      <c r="CS2626" s="1" t="s">
        <v>94</v>
      </c>
    </row>
    <row r="2627" spans="1:141" ht="14.25" customHeight="1" x14ac:dyDescent="0.3">
      <c r="A2627" s="1" t="s">
        <v>2768</v>
      </c>
      <c r="B2627" s="1" t="str">
        <f ca="1">IFERROR(__xludf.DUMMYFUNCTION("GOOGLETRANSLATE(A2627, ""en"", ""fr"")"),"il")</f>
        <v>il</v>
      </c>
      <c r="J2627" s="1" t="s">
        <v>7</v>
      </c>
    </row>
    <row r="2628" spans="1:141" ht="14.25" customHeight="1" x14ac:dyDescent="0.3">
      <c r="A2628" s="1" t="s">
        <v>2769</v>
      </c>
      <c r="B2628" s="1" t="str">
        <f ca="1">IFERROR(__xludf.DUMMYFUNCTION("GOOGLETRANSLATE(A2628, ""en"", ""fr"")"),"Italie")</f>
        <v>Italie</v>
      </c>
      <c r="AR2628" s="1" t="s">
        <v>41</v>
      </c>
      <c r="CH2628" s="1" t="s">
        <v>83</v>
      </c>
      <c r="EK2628" s="1" t="s">
        <v>138</v>
      </c>
    </row>
    <row r="2629" spans="1:141" ht="14.25" customHeight="1" x14ac:dyDescent="0.3">
      <c r="A2629" s="1" t="s">
        <v>2770</v>
      </c>
      <c r="B2629" s="1" t="str">
        <f ca="1">IFERROR(__xludf.DUMMYFUNCTION("GOOGLETRANSLATE(A2629, ""en"", ""fr"")"),"c'est")</f>
        <v>c'est</v>
      </c>
      <c r="J2629" s="1" t="s">
        <v>7</v>
      </c>
    </row>
    <row r="2630" spans="1:141" ht="14.25" customHeight="1" x14ac:dyDescent="0.3">
      <c r="A2630" s="1" t="s">
        <v>2771</v>
      </c>
      <c r="B2630" s="1" t="str">
        <f ca="1">IFERROR(__xludf.DUMMYFUNCTION("GOOGLETRANSLATE(A2630, ""en"", ""fr"")"),"lui-même")</f>
        <v>lui-même</v>
      </c>
      <c r="J2630" s="1" t="s">
        <v>7</v>
      </c>
    </row>
    <row r="2631" spans="1:141" ht="14.25" customHeight="1" x14ac:dyDescent="0.3">
      <c r="A2631" s="1" t="s">
        <v>2772</v>
      </c>
      <c r="B2631" s="1" t="str">
        <f ca="1">IFERROR(__xludf.DUMMYFUNCTION("GOOGLETRANSLATE(A2631, ""en"", ""fr"")"),"JP Morgan")</f>
        <v>JP Morgan</v>
      </c>
      <c r="CR2631" s="1" t="s">
        <v>93</v>
      </c>
    </row>
    <row r="2632" spans="1:141" ht="14.25" customHeight="1" x14ac:dyDescent="0.3">
      <c r="A2632" s="1" t="s">
        <v>2773</v>
      </c>
      <c r="B2632" s="1" t="str">
        <f ca="1">IFERROR(__xludf.DUMMYFUNCTION("GOOGLETRANSLATE(A2632, ""en"", ""fr"")"),"Veste")</f>
        <v>Veste</v>
      </c>
      <c r="E2632" s="1" t="s">
        <v>3</v>
      </c>
    </row>
    <row r="2633" spans="1:141" ht="14.25" customHeight="1" x14ac:dyDescent="0.3">
      <c r="A2633" s="1" t="s">
        <v>2774</v>
      </c>
      <c r="B2633" s="1" t="str">
        <f ca="1">IFERROR(__xludf.DUMMYFUNCTION("GOOGLETRANSLATE(A2633, ""en"", ""fr"")"),"raffinerie de Jamnagar")</f>
        <v>raffinerie de Jamnagar</v>
      </c>
      <c r="X2633" s="1" t="s">
        <v>21</v>
      </c>
      <c r="AH2633" s="1" t="s">
        <v>31</v>
      </c>
      <c r="BF2633" s="1" t="s">
        <v>55</v>
      </c>
      <c r="CI2633" s="1" t="s">
        <v>84</v>
      </c>
      <c r="EC2633" s="1" t="s">
        <v>130</v>
      </c>
    </row>
    <row r="2634" spans="1:141" ht="14.25" customHeight="1" x14ac:dyDescent="0.3">
      <c r="A2634" s="1" t="s">
        <v>2775</v>
      </c>
      <c r="B2634" s="1" t="str">
        <f ca="1">IFERROR(__xludf.DUMMYFUNCTION("GOOGLETRANSLATE(A2634, ""en"", ""fr"")"),"jan")</f>
        <v>jan</v>
      </c>
      <c r="J2634" s="1" t="s">
        <v>7</v>
      </c>
    </row>
    <row r="2635" spans="1:141" ht="14.25" customHeight="1" x14ac:dyDescent="0.3">
      <c r="A2635" s="1" t="s">
        <v>2776</v>
      </c>
      <c r="B2635" s="1" t="str">
        <f ca="1">IFERROR(__xludf.DUMMYFUNCTION("GOOGLETRANSLATE(A2635, ""en"", ""fr"")"),"Janvier")</f>
        <v>Janvier</v>
      </c>
      <c r="J2635" s="1" t="s">
        <v>7</v>
      </c>
    </row>
    <row r="2636" spans="1:141" ht="14.25" customHeight="1" x14ac:dyDescent="0.3">
      <c r="A2636" s="1" t="s">
        <v>2777</v>
      </c>
      <c r="B2636" s="1" t="str">
        <f ca="1">IFERROR(__xludf.DUMMYFUNCTION("GOOGLETRANSLATE(A2636, ""en"", ""fr"")"),"Japon")</f>
        <v>Japon</v>
      </c>
      <c r="AR2636" s="1" t="s">
        <v>41</v>
      </c>
      <c r="BQ2636" s="1" t="s">
        <v>66</v>
      </c>
      <c r="EK2636" s="1" t="s">
        <v>138</v>
      </c>
    </row>
    <row r="2637" spans="1:141" ht="14.25" customHeight="1" x14ac:dyDescent="0.3">
      <c r="A2637" s="1" t="s">
        <v>2778</v>
      </c>
      <c r="B2637" s="1" t="str">
        <f ca="1">IFERROR(__xludf.DUMMYFUNCTION("GOOGLETRANSLATE(A2637, ""en"", ""fr"")"),"Jasmin")</f>
        <v>Jasmin</v>
      </c>
      <c r="R2637" s="1" t="s">
        <v>15</v>
      </c>
      <c r="CS2637" s="1" t="s">
        <v>94</v>
      </c>
    </row>
    <row r="2638" spans="1:141" ht="14.25" customHeight="1" x14ac:dyDescent="0.3">
      <c r="A2638" s="1" t="s">
        <v>2779</v>
      </c>
      <c r="B2638" s="1" t="str">
        <f ca="1">IFERROR(__xludf.DUMMYFUNCTION("GOOGLETRANSLATE(A2638, ""en"", ""fr"")"),"courbe en j")</f>
        <v>courbe en j</v>
      </c>
      <c r="M2638" s="1" t="s">
        <v>10</v>
      </c>
    </row>
    <row r="2639" spans="1:141" ht="14.25" customHeight="1" x14ac:dyDescent="0.3">
      <c r="A2639" s="1" t="s">
        <v>2780</v>
      </c>
      <c r="B2639" s="1" t="str">
        <f ca="1">IFERROR(__xludf.DUMMYFUNCTION("GOOGLETRANSLATE(A2639, ""en"", ""fr"")"),"COMPROMETTRE")</f>
        <v>COMPROMETTRE</v>
      </c>
      <c r="D2639" s="1" t="s">
        <v>4963</v>
      </c>
    </row>
    <row r="2640" spans="1:141" ht="14.25" customHeight="1" x14ac:dyDescent="0.3">
      <c r="A2640" s="1" t="s">
        <v>2781</v>
      </c>
      <c r="B2640" s="1" t="str">
        <f ca="1">IFERROR(__xludf.DUMMYFUNCTION("GOOGLETRANSLATE(A2640, ""en"", ""fr"")"),"Compromis")</f>
        <v>Compromis</v>
      </c>
      <c r="D2640" s="1" t="s">
        <v>4963</v>
      </c>
    </row>
    <row r="2641" spans="1:132" ht="14.25" customHeight="1" x14ac:dyDescent="0.3">
      <c r="A2641" s="1" t="s">
        <v>2782</v>
      </c>
      <c r="B2641" s="1" t="str">
        <f ca="1">IFERROR(__xludf.DUMMYFUNCTION("GOOGLETRANSLATE(A2641, ""en"", ""fr"")"),"jidong")</f>
        <v>jidong</v>
      </c>
      <c r="BW2641" s="1" t="s">
        <v>72</v>
      </c>
      <c r="DD2641" s="1" t="s">
        <v>105</v>
      </c>
      <c r="DH2641" s="1" t="s">
        <v>109</v>
      </c>
    </row>
    <row r="2642" spans="1:132" ht="14.25" customHeight="1" x14ac:dyDescent="0.3">
      <c r="A2642" s="1" t="s">
        <v>2783</v>
      </c>
      <c r="B2642" s="1" t="str">
        <f ca="1">IFERROR(__xludf.DUMMYFUNCTION("GOOGLETRANSLATE(A2642, ""en"", ""fr"")"),"Jim Cramer")</f>
        <v>Jim Cramer</v>
      </c>
      <c r="M2642" s="1" t="s">
        <v>10</v>
      </c>
    </row>
    <row r="2643" spans="1:132" ht="14.25" customHeight="1" x14ac:dyDescent="0.3">
      <c r="A2643" s="1" t="s">
        <v>2784</v>
      </c>
      <c r="B2643" s="1" t="str">
        <f ca="1">IFERROR(__xludf.DUMMYFUNCTION("GOOGLETRANSLATE(A2643, ""en"", ""fr"")"),"compagnie Jinling")</f>
        <v>compagnie Jinling</v>
      </c>
      <c r="X2643" s="1" t="s">
        <v>21</v>
      </c>
      <c r="AA2643" s="1" t="s">
        <v>24</v>
      </c>
      <c r="BF2643" s="1" t="s">
        <v>55</v>
      </c>
      <c r="DV2643" s="1" t="s">
        <v>123</v>
      </c>
      <c r="EB2643" s="1" t="s">
        <v>129</v>
      </c>
    </row>
    <row r="2644" spans="1:132" ht="14.25" customHeight="1" x14ac:dyDescent="0.3">
      <c r="A2644" s="1" t="s">
        <v>2785</v>
      </c>
      <c r="B2644" s="1" t="str">
        <f ca="1">IFERROR(__xludf.DUMMYFUNCTION("GOOGLETRANSLATE(A2644, ""en"", ""fr"")"),"Joa")</f>
        <v>Joa</v>
      </c>
      <c r="AY2644" s="1" t="s">
        <v>48</v>
      </c>
    </row>
    <row r="2645" spans="1:132" ht="14.25" customHeight="1" x14ac:dyDescent="0.3">
      <c r="A2645" s="1" t="s">
        <v>2786</v>
      </c>
      <c r="B2645" s="1" t="str">
        <f ca="1">IFERROR(__xludf.DUMMYFUNCTION("GOOGLETRANSLATE(A2645, ""en"", ""fr"")"),"Loi de 2002 sur la création d'emplois et l'assistance aux travailleurs")</f>
        <v>Loi de 2002 sur la création d'emplois et l'assistance aux travailleurs</v>
      </c>
      <c r="M2645" s="1" t="s">
        <v>10</v>
      </c>
    </row>
    <row r="2646" spans="1:132" ht="14.25" customHeight="1" x14ac:dyDescent="0.3">
      <c r="A2646" s="1" t="s">
        <v>2787</v>
      </c>
      <c r="B2646" s="1" t="str">
        <f ca="1">IFERROR(__xludf.DUMMYFUNCTION("GOOGLETRANSLATE(A2646, ""en"", ""fr"")"),"demandes d'allocations chômage")</f>
        <v>demandes d'allocations chômage</v>
      </c>
      <c r="M2646" s="1" t="s">
        <v>10</v>
      </c>
    </row>
    <row r="2647" spans="1:132" ht="14.25" customHeight="1" x14ac:dyDescent="0.3">
      <c r="A2647" s="1" t="s">
        <v>2788</v>
      </c>
      <c r="B2647" s="1" t="str">
        <f ca="1">IFERROR(__xludf.DUMMYFUNCTION("GOOGLETRANSLATE(A2647, ""en"", ""fr"")"),"Loi de réconciliation des emplois et de la croissance de la fiscalité de 2003")</f>
        <v>Loi de réconciliation des emplois et de la croissance de la fiscalité de 2003</v>
      </c>
      <c r="M2647" s="1" t="s">
        <v>10</v>
      </c>
    </row>
    <row r="2648" spans="1:132" ht="14.25" customHeight="1" x14ac:dyDescent="0.3">
      <c r="A2648" s="1" t="s">
        <v>2789</v>
      </c>
      <c r="B2648" s="1" t="str">
        <f ca="1">IFERROR(__xludf.DUMMYFUNCTION("GOOGLETRANSLATE(A2648, ""en"", ""fr"")"),"John Maynard Keynes")</f>
        <v>John Maynard Keynes</v>
      </c>
      <c r="M2648" s="1" t="s">
        <v>10</v>
      </c>
    </row>
    <row r="2649" spans="1:132" ht="14.25" customHeight="1" x14ac:dyDescent="0.3">
      <c r="A2649" s="1" t="s">
        <v>2790</v>
      </c>
      <c r="B2649" s="1" t="str">
        <f ca="1">IFERROR(__xludf.DUMMYFUNCTION("GOOGLETRANSLATE(A2649, ""en"", ""fr"")"),"Articulation")</f>
        <v>Articulation</v>
      </c>
      <c r="E2649" s="1" t="s">
        <v>3</v>
      </c>
    </row>
    <row r="2650" spans="1:132" ht="14.25" customHeight="1" x14ac:dyDescent="0.3">
      <c r="A2650" s="1" t="s">
        <v>2791</v>
      </c>
      <c r="B2650" s="1" t="str">
        <f ca="1">IFERROR(__xludf.DUMMYFUNCTION("GOOGLETRANSLATE(A2650, ""en"", ""fr"")"),"Accord de fonctionnement conjoint")</f>
        <v>Accord de fonctionnement conjoint</v>
      </c>
      <c r="AY2650" s="1" t="s">
        <v>48</v>
      </c>
      <c r="CS2650" s="1" t="s">
        <v>94</v>
      </c>
    </row>
    <row r="2651" spans="1:132" ht="14.25" customHeight="1" x14ac:dyDescent="0.3">
      <c r="A2651" s="1" t="s">
        <v>2792</v>
      </c>
      <c r="B2651" s="1" t="str">
        <f ca="1">IFERROR(__xludf.DUMMYFUNCTION("GOOGLETRANSLATE(A2651, ""en"", ""fr"")"),"coentreprise")</f>
        <v>coentreprise</v>
      </c>
      <c r="AZ2651" s="1" t="s">
        <v>49</v>
      </c>
    </row>
    <row r="2652" spans="1:132" ht="14.25" customHeight="1" x14ac:dyDescent="0.3">
      <c r="A2652" s="1" t="s">
        <v>2793</v>
      </c>
      <c r="B2652" s="1" t="str">
        <f ca="1">IFERROR(__xludf.DUMMYFUNCTION("GOOGLETRANSLATE(A2652, ""en"", ""fr"")"),"participants à la coentreprise")</f>
        <v>participants à la coentreprise</v>
      </c>
      <c r="AZ2652" s="1" t="s">
        <v>49</v>
      </c>
    </row>
    <row r="2653" spans="1:132" ht="14.25" customHeight="1" x14ac:dyDescent="0.3">
      <c r="A2653" s="1" t="s">
        <v>2794</v>
      </c>
      <c r="B2653" s="1" t="str">
        <f ca="1">IFERROR(__xludf.DUMMYFUNCTION("GOOGLETRANSLATE(A2653, ""en"", ""fr"")"),"Noding")</f>
        <v>Noding</v>
      </c>
      <c r="R2653" s="1" t="s">
        <v>15</v>
      </c>
      <c r="CS2653" s="1" t="s">
        <v>94</v>
      </c>
    </row>
    <row r="2654" spans="1:132" ht="14.25" customHeight="1" x14ac:dyDescent="0.3">
      <c r="A2654" s="1" t="s">
        <v>2795</v>
      </c>
      <c r="B2654" s="1" t="str">
        <f ca="1">IFERROR(__xludf.DUMMYFUNCTION("GOOGLETRANSLATE(A2654, ""en"", ""fr"")"),"se détacher")</f>
        <v>se détacher</v>
      </c>
      <c r="L2654" s="1" t="s">
        <v>9</v>
      </c>
      <c r="BF2654" s="1" t="s">
        <v>55</v>
      </c>
      <c r="BM2654" s="1" t="s">
        <v>62</v>
      </c>
      <c r="BP2654" s="1" t="s">
        <v>65</v>
      </c>
      <c r="CL2654" s="1" t="s">
        <v>87</v>
      </c>
      <c r="CX2654" s="1" t="s">
        <v>99</v>
      </c>
      <c r="EB2654" s="1" t="s">
        <v>129</v>
      </c>
    </row>
    <row r="2655" spans="1:132" ht="14.25" customHeight="1" x14ac:dyDescent="0.3">
      <c r="A2655" s="1" t="s">
        <v>2796</v>
      </c>
      <c r="B2655" s="1" t="str">
        <f ca="1">IFERROR(__xludf.DUMMYFUNCTION("GOOGLETRANSLATE(A2655, ""en"", ""fr"")"),"juillet")</f>
        <v>juillet</v>
      </c>
      <c r="J2655" s="1" t="s">
        <v>7</v>
      </c>
    </row>
    <row r="2656" spans="1:132" ht="14.25" customHeight="1" x14ac:dyDescent="0.3">
      <c r="A2656" s="1" t="s">
        <v>2797</v>
      </c>
      <c r="B2656" s="1" t="str">
        <f ca="1">IFERROR(__xludf.DUMMYFUNCTION("GOOGLETRANSLATE(A2656, ""en"", ""fr"")"),"juillet")</f>
        <v>juillet</v>
      </c>
      <c r="J2656" s="1" t="s">
        <v>7</v>
      </c>
    </row>
    <row r="2657" spans="1:140" ht="14.25" customHeight="1" x14ac:dyDescent="0.3">
      <c r="A2657" s="1" t="s">
        <v>2798</v>
      </c>
      <c r="B2657" s="1" t="str">
        <f ca="1">IFERROR(__xludf.DUMMYFUNCTION("GOOGLETRANSLATE(A2657, ""en"", ""fr"")"),"juin")</f>
        <v>juin</v>
      </c>
      <c r="J2657" s="1" t="s">
        <v>7</v>
      </c>
    </row>
    <row r="2658" spans="1:140" ht="14.25" customHeight="1" x14ac:dyDescent="0.3">
      <c r="A2658" s="1" t="s">
        <v>2799</v>
      </c>
      <c r="B2658" s="1" t="str">
        <f ca="1">IFERROR(__xludf.DUMMYFUNCTION("GOOGLETRANSLATE(A2658, ""en"", ""fr"")"),"juin")</f>
        <v>juin</v>
      </c>
      <c r="J2658" s="1" t="s">
        <v>7</v>
      </c>
    </row>
    <row r="2659" spans="1:140" ht="14.25" customHeight="1" x14ac:dyDescent="0.3">
      <c r="A2659" s="1" t="s">
        <v>2800</v>
      </c>
      <c r="B2659" s="1" t="str">
        <f ca="1">IFERROR(__xludf.DUMMYFUNCTION("GOOGLETRANSLATE(A2659, ""en"", ""fr"")"),"Jondi et abandonné")</f>
        <v>Jondi et abandonné</v>
      </c>
      <c r="AY2659" s="1" t="s">
        <v>48</v>
      </c>
    </row>
    <row r="2660" spans="1:140" ht="14.25" customHeight="1" x14ac:dyDescent="0.3">
      <c r="A2660" s="1" t="s">
        <v>2801</v>
      </c>
      <c r="B2660" s="1" t="str">
        <f ca="1">IFERROR(__xludf.DUMMYFUNCTION("GOOGLETRANSLATE(A2660, ""en"", ""fr"")"),"Jupiter")</f>
        <v>Jupiter</v>
      </c>
      <c r="AS2660" s="1" t="s">
        <v>42</v>
      </c>
      <c r="BW2660" s="1" t="s">
        <v>72</v>
      </c>
      <c r="DD2660" s="1" t="s">
        <v>105</v>
      </c>
      <c r="EG2660" s="1" t="s">
        <v>134</v>
      </c>
    </row>
    <row r="2661" spans="1:140" ht="14.25" customHeight="1" x14ac:dyDescent="0.3">
      <c r="A2661" s="1" t="s">
        <v>2802</v>
      </c>
      <c r="B2661" s="1" t="str">
        <f ca="1">IFERROR(__xludf.DUMMYFUNCTION("GOOGLETRANSLATE(A2661, ""en"", ""fr"")"),"raffinerie de l'île de Jurong")</f>
        <v>raffinerie de l'île de Jurong</v>
      </c>
      <c r="BC2661" s="1" t="s">
        <v>52</v>
      </c>
      <c r="BF2661" s="1" t="s">
        <v>55</v>
      </c>
      <c r="DB2661" s="1" t="s">
        <v>103</v>
      </c>
      <c r="EJ2661" s="1" t="s">
        <v>137</v>
      </c>
    </row>
    <row r="2662" spans="1:140" ht="14.25" customHeight="1" x14ac:dyDescent="0.3">
      <c r="A2662" s="1" t="s">
        <v>2803</v>
      </c>
      <c r="B2662" s="1" t="str">
        <f ca="1">IFERROR(__xludf.DUMMYFUNCTION("GOOGLETRANSLATE(A2662, ""en"", ""fr"")"),"JUSTIFIABLE")</f>
        <v>JUSTIFIABLE</v>
      </c>
      <c r="D2662" s="1" t="s">
        <v>4963</v>
      </c>
    </row>
    <row r="2663" spans="1:140" ht="14.25" customHeight="1" x14ac:dyDescent="0.3">
      <c r="A2663" s="1" t="s">
        <v>2804</v>
      </c>
      <c r="B2663" s="1" t="str">
        <f ca="1">IFERROR(__xludf.DUMMYFUNCTION("GOOGLETRANSLATE(A2663, ""en"", ""fr"")"),"kalamkas")</f>
        <v>kalamkas</v>
      </c>
      <c r="AK2663" s="1" t="s">
        <v>34</v>
      </c>
      <c r="CB2663" s="1" t="s">
        <v>77</v>
      </c>
      <c r="DD2663" s="1" t="s">
        <v>105</v>
      </c>
    </row>
    <row r="2664" spans="1:140" ht="14.25" customHeight="1" x14ac:dyDescent="0.3">
      <c r="A2664" s="1" t="s">
        <v>2805</v>
      </c>
      <c r="B2664" s="1" t="str">
        <f ca="1">IFERROR(__xludf.DUMMYFUNCTION("GOOGLETRANSLATE(A2664, ""en"", ""fr"")"),"kamenoe")</f>
        <v>kamenoe</v>
      </c>
      <c r="AK2664" s="1" t="s">
        <v>34</v>
      </c>
      <c r="BH2664" s="1" t="s">
        <v>57</v>
      </c>
      <c r="BW2664" s="1" t="s">
        <v>72</v>
      </c>
      <c r="DD2664" s="1" t="s">
        <v>105</v>
      </c>
    </row>
    <row r="2665" spans="1:140" ht="14.25" customHeight="1" x14ac:dyDescent="0.3">
      <c r="A2665" s="1" t="s">
        <v>2806</v>
      </c>
      <c r="B2665" s="1" t="str">
        <f ca="1">IFERROR(__xludf.DUMMYFUNCTION("GOOGLETRANSLATE(A2665, ""en"", ""fr"")"),"karachaganak")</f>
        <v>karachaganak</v>
      </c>
      <c r="AK2665" s="1" t="s">
        <v>34</v>
      </c>
      <c r="CB2665" s="1" t="s">
        <v>77</v>
      </c>
      <c r="DD2665" s="1" t="s">
        <v>105</v>
      </c>
    </row>
    <row r="2666" spans="1:140" ht="14.25" customHeight="1" x14ac:dyDescent="0.3">
      <c r="A2666" s="1" t="s">
        <v>2807</v>
      </c>
      <c r="B2666" s="1" t="str">
        <f ca="1">IFERROR(__xludf.DUMMYFUNCTION("GOOGLETRANSLATE(A2666, ""en"", ""fr"")"),"Condensat de Karachaganak")</f>
        <v>Condensat de Karachaganak</v>
      </c>
      <c r="R2666" s="1" t="s">
        <v>15</v>
      </c>
      <c r="CS2666" s="1" t="s">
        <v>94</v>
      </c>
    </row>
    <row r="2667" spans="1:140" ht="14.25" customHeight="1" x14ac:dyDescent="0.3">
      <c r="A2667" s="1" t="s">
        <v>2808</v>
      </c>
      <c r="B2667" s="1" t="str">
        <f ca="1">IFERROR(__xludf.DUMMYFUNCTION("GOOGLETRANSLATE(A2667, ""en"", ""fr"")"),"Kashagan")</f>
        <v>Kashagan</v>
      </c>
      <c r="AK2667" s="1" t="s">
        <v>34</v>
      </c>
      <c r="CB2667" s="1" t="s">
        <v>77</v>
      </c>
      <c r="DD2667" s="1" t="s">
        <v>105</v>
      </c>
    </row>
    <row r="2668" spans="1:140" ht="14.25" customHeight="1" x14ac:dyDescent="0.3">
      <c r="A2668" s="1" t="s">
        <v>2809</v>
      </c>
      <c r="B2668" s="1" t="str">
        <f ca="1">IFERROR(__xludf.DUMMYFUNCTION("GOOGLETRANSLATE(A2668, ""en"", ""fr"")"),"raffinerie de kawasaki")</f>
        <v>raffinerie de kawasaki</v>
      </c>
      <c r="BF2668" s="1" t="s">
        <v>55</v>
      </c>
      <c r="BP2668" s="1" t="s">
        <v>65</v>
      </c>
      <c r="BQ2668" s="1" t="s">
        <v>66</v>
      </c>
      <c r="EB2668" s="1" t="s">
        <v>129</v>
      </c>
    </row>
    <row r="2669" spans="1:140" ht="14.25" customHeight="1" x14ac:dyDescent="0.3">
      <c r="A2669" s="1" t="s">
        <v>2810</v>
      </c>
      <c r="B2669" s="1" t="str">
        <f ca="1">IFERROR(__xludf.DUMMYFUNCTION("GOOGLETRANSLATE(A2669, ""en"", ""fr"")"),"kernriver")</f>
        <v>kernriver</v>
      </c>
      <c r="DD2669" s="1" t="s">
        <v>105</v>
      </c>
      <c r="DF2669" s="1" t="s">
        <v>107</v>
      </c>
      <c r="DK2669" s="1" t="s">
        <v>112</v>
      </c>
    </row>
    <row r="2670" spans="1:140" ht="14.25" customHeight="1" x14ac:dyDescent="0.3">
      <c r="A2670" s="1" t="s">
        <v>2811</v>
      </c>
      <c r="B2670" s="1" t="str">
        <f ca="1">IFERROR(__xludf.DUMMYFUNCTION("GOOGLETRANSLATE(A2670, ""en"", ""fr"")"),"industrie clé")</f>
        <v>industrie clé</v>
      </c>
      <c r="M2670" s="1" t="s">
        <v>10</v>
      </c>
    </row>
    <row r="2671" spans="1:140" ht="14.25" customHeight="1" x14ac:dyDescent="0.3">
      <c r="A2671" s="1" t="s">
        <v>2812</v>
      </c>
      <c r="B2671" s="1" t="str">
        <f ca="1">IFERROR(__xludf.DUMMYFUNCTION("GOOGLETRANSLATE(A2671, ""en"", ""fr"")"),"Économie keynésienne")</f>
        <v>Économie keynésienne</v>
      </c>
      <c r="M2671" s="1" t="s">
        <v>10</v>
      </c>
    </row>
    <row r="2672" spans="1:140" ht="14.25" customHeight="1" x14ac:dyDescent="0.3">
      <c r="A2672" s="1" t="s">
        <v>2813</v>
      </c>
      <c r="B2672" s="1" t="str">
        <f ca="1">IFERROR(__xludf.DUMMYFUNCTION("GOOGLETRANSLATE(A2672, ""en"", ""fr"")"),"Khafji")</f>
        <v>Khafji</v>
      </c>
      <c r="R2672" s="1" t="s">
        <v>15</v>
      </c>
      <c r="CS2672" s="1" t="s">
        <v>94</v>
      </c>
    </row>
    <row r="2673" spans="1:138" ht="14.25" customHeight="1" x14ac:dyDescent="0.3">
      <c r="A2673" s="1" t="s">
        <v>2814</v>
      </c>
      <c r="B2673" s="1" t="str">
        <f ca="1">IFERROR(__xludf.DUMMYFUNCTION("GOOGLETRANSLATE(A2673, ""en"", ""fr"")"),"Coup")</f>
        <v>Coup</v>
      </c>
      <c r="E2673" s="1" t="s">
        <v>3</v>
      </c>
    </row>
    <row r="2674" spans="1:138" ht="14.25" customHeight="1" x14ac:dyDescent="0.3">
      <c r="A2674" s="1" t="s">
        <v>2815</v>
      </c>
      <c r="B2674" s="1" t="str">
        <f ca="1">IFERROR(__xludf.DUMMYFUNCTION("GOOGLETRANSLATE(A2674, ""en"", ""fr"")"),"Pistolet")</f>
        <v>Pistolet</v>
      </c>
      <c r="D2674" s="1" t="s">
        <v>4963</v>
      </c>
    </row>
    <row r="2675" spans="1:138" ht="14.25" customHeight="1" x14ac:dyDescent="0.3">
      <c r="A2675" s="1" t="s">
        <v>2816</v>
      </c>
      <c r="B2675" s="1" t="str">
        <f ca="1">IFERROR(__xludf.DUMMYFUNCTION("GOOGLETRANSLATE(A2675, ""en"", ""fr"")"),"Serrures")</f>
        <v>Serrures</v>
      </c>
      <c r="D2675" s="1" t="s">
        <v>4963</v>
      </c>
    </row>
    <row r="2676" spans="1:138" ht="14.25" customHeight="1" x14ac:dyDescent="0.3">
      <c r="A2676" s="1" t="s">
        <v>2817</v>
      </c>
      <c r="B2676" s="1" t="str">
        <f ca="1">IFERROR(__xludf.DUMMYFUNCTION("GOOGLETRANSLATE(A2676, ""en"", ""fr"")"),"Kikeh")</f>
        <v>Kikeh</v>
      </c>
      <c r="R2676" s="1" t="s">
        <v>15</v>
      </c>
      <c r="CS2676" s="1" t="s">
        <v>94</v>
      </c>
    </row>
    <row r="2677" spans="1:138" ht="14.25" customHeight="1" x14ac:dyDescent="0.3">
      <c r="A2677" s="1" t="s">
        <v>2818</v>
      </c>
      <c r="B2677" s="1" t="str">
        <f ca="1">IFERROR(__xludf.DUMMYFUNCTION("GOOGLETRANSLATE(A2677, ""en"", ""fr"")"),"Tuer")</f>
        <v>Tuer</v>
      </c>
      <c r="E2677" s="1" t="s">
        <v>3</v>
      </c>
    </row>
    <row r="2678" spans="1:138" ht="14.25" customHeight="1" x14ac:dyDescent="0.3">
      <c r="A2678" s="1" t="s">
        <v>2819</v>
      </c>
      <c r="B2678" s="1" t="str">
        <f ca="1">IFERROR(__xludf.DUMMYFUNCTION("GOOGLETRANSLATE(A2678, ""en"", ""fr"")"),"Tuer un puits")</f>
        <v>Tuer un puits</v>
      </c>
      <c r="AY2678" s="1" t="s">
        <v>48</v>
      </c>
    </row>
    <row r="2679" spans="1:138" ht="14.25" customHeight="1" x14ac:dyDescent="0.3">
      <c r="A2679" s="1" t="s">
        <v>2820</v>
      </c>
      <c r="B2679" s="1" t="str">
        <f ca="1">IFERROR(__xludf.DUMMYFUNCTION("GOOGLETRANSLATE(A2679, ""en"", ""fr"")"),"Demande de kilowatt")</f>
        <v>Demande de kilowatt</v>
      </c>
      <c r="EH2679" s="1" t="s">
        <v>135</v>
      </c>
    </row>
    <row r="2680" spans="1:138" ht="14.25" customHeight="1" x14ac:dyDescent="0.3">
      <c r="A2680" s="1" t="s">
        <v>2821</v>
      </c>
      <c r="B2680" s="1" t="str">
        <f ca="1">IFERROR(__xludf.DUMMYFUNCTION("GOOGLETRANSLATE(A2680, ""en"", ""fr"")"),"kilowatt-heure")</f>
        <v>kilowatt-heure</v>
      </c>
      <c r="EH2680" s="1" t="s">
        <v>135</v>
      </c>
    </row>
    <row r="2681" spans="1:138" ht="14.25" customHeight="1" x14ac:dyDescent="0.3">
      <c r="A2681" s="1" t="s">
        <v>2822</v>
      </c>
      <c r="B2681" s="1" t="str">
        <f ca="1">IFERROR(__xludf.DUMMYFUNCTION("GOOGLETRANSLATE(A2681, ""en"", ""fr"")"),"kilowattheures par habitant")</f>
        <v>kilowattheures par habitant</v>
      </c>
      <c r="EH2681" s="1" t="s">
        <v>135</v>
      </c>
    </row>
    <row r="2682" spans="1:138" ht="14.25" customHeight="1" x14ac:dyDescent="0.3">
      <c r="A2682" s="1" t="s">
        <v>2823</v>
      </c>
      <c r="B2682" s="1" t="str">
        <f ca="1">IFERROR(__xludf.DUMMYFUNCTION("GOOGLETRANSLATE(A2682, ""en"", ""fr"")"),"Viscosité cinématique")</f>
        <v>Viscosité cinématique</v>
      </c>
      <c r="E2682" s="1" t="s">
        <v>3</v>
      </c>
    </row>
    <row r="2683" spans="1:138" ht="14.25" customHeight="1" x14ac:dyDescent="0.3">
      <c r="A2683" s="1" t="s">
        <v>2824</v>
      </c>
      <c r="B2683" s="1" t="str">
        <f ca="1">IFERROR(__xludf.DUMMYFUNCTION("GOOGLETRANSLATE(A2683, ""en"", ""fr"")"),"cravate")</f>
        <v>cravate</v>
      </c>
      <c r="AF2683" s="1" t="s">
        <v>29</v>
      </c>
      <c r="AI2683" s="1" t="s">
        <v>32</v>
      </c>
      <c r="DD2683" s="1" t="s">
        <v>105</v>
      </c>
    </row>
    <row r="2684" spans="1:138" ht="14.25" customHeight="1" x14ac:dyDescent="0.3">
      <c r="A2684" s="1" t="s">
        <v>2825</v>
      </c>
      <c r="B2684" s="1" t="str">
        <f ca="1">IFERROR(__xludf.DUMMYFUNCTION("GOOGLETRANSLATE(A2684, ""en"", ""fr"")"),"raffinerie de Kirishi")</f>
        <v>raffinerie de Kirishi</v>
      </c>
      <c r="BF2684" s="1" t="s">
        <v>55</v>
      </c>
      <c r="BL2684" s="1" t="s">
        <v>61</v>
      </c>
      <c r="DI2684" s="1" t="s">
        <v>110</v>
      </c>
      <c r="EB2684" s="1" t="s">
        <v>129</v>
      </c>
    </row>
    <row r="2685" spans="1:138" ht="14.25" customHeight="1" x14ac:dyDescent="0.3">
      <c r="A2685" s="1" t="s">
        <v>2826</v>
      </c>
      <c r="B2685" s="1" t="str">
        <f ca="1">IFERROR(__xludf.DUMMYFUNCTION("GOOGLETRANSLATE(A2685, ""en"", ""fr"")"),"kirkuk")</f>
        <v>kirkuk</v>
      </c>
      <c r="AU2685" s="1" t="s">
        <v>44</v>
      </c>
      <c r="BE2685" s="1" t="s">
        <v>54</v>
      </c>
      <c r="BS2685" s="1" t="s">
        <v>68</v>
      </c>
      <c r="DD2685" s="1" t="s">
        <v>105</v>
      </c>
    </row>
    <row r="2686" spans="1:138" ht="14.25" customHeight="1" x14ac:dyDescent="0.3">
      <c r="A2686" s="1" t="s">
        <v>2827</v>
      </c>
      <c r="B2686" s="1" t="str">
        <f ca="1">IFERROR(__xludf.DUMMYFUNCTION("GOOGLETRANSLATE(A2686, ""en"", ""fr"")"),"Blend Kissanje")</f>
        <v>Blend Kissanje</v>
      </c>
      <c r="R2686" s="1" t="s">
        <v>15</v>
      </c>
      <c r="CS2686" s="1" t="s">
        <v>94</v>
      </c>
    </row>
    <row r="2687" spans="1:138" ht="14.25" customHeight="1" x14ac:dyDescent="0.3">
      <c r="A2687" s="1" t="s">
        <v>2828</v>
      </c>
      <c r="B2687" s="1" t="str">
        <f ca="1">IFERROR(__xludf.DUMMYFUNCTION("GOOGLETRANSLATE(A2687, ""en"", ""fr"")"),"Kitina")</f>
        <v>Kitina</v>
      </c>
      <c r="R2687" s="1" t="s">
        <v>15</v>
      </c>
      <c r="CS2687" s="1" t="s">
        <v>94</v>
      </c>
    </row>
    <row r="2688" spans="1:138" ht="14.25" customHeight="1" x14ac:dyDescent="0.3">
      <c r="A2688" s="1" t="s">
        <v>2829</v>
      </c>
      <c r="B2688" s="1" t="str">
        <f ca="1">IFERROR(__xludf.DUMMYFUNCTION("GOOGLETRANSLATE(A2688, ""en"", ""fr"")"),"Mouette tridactyle")</f>
        <v>Mouette tridactyle</v>
      </c>
      <c r="R2688" s="1" t="s">
        <v>15</v>
      </c>
      <c r="CS2688" s="1" t="s">
        <v>94</v>
      </c>
    </row>
    <row r="2689" spans="1:146" ht="14.25" customHeight="1" x14ac:dyDescent="0.3">
      <c r="A2689" s="1" t="s">
        <v>2830</v>
      </c>
      <c r="B2689" s="1" t="str">
        <f ca="1">IFERROR(__xludf.DUMMYFUNCTION("GOOGLETRANSLATE(A2689, ""en"", ""fr"")"),"complexe de kizomba")</f>
        <v>complexe de kizomba</v>
      </c>
      <c r="AU2689" s="1" t="s">
        <v>44</v>
      </c>
      <c r="DD2689" s="1" t="s">
        <v>105</v>
      </c>
      <c r="EO2689" s="1" t="s">
        <v>142</v>
      </c>
      <c r="EP2689" s="1" t="s">
        <v>143</v>
      </c>
    </row>
    <row r="2690" spans="1:146" ht="14.25" customHeight="1" x14ac:dyDescent="0.3">
      <c r="A2690" s="1" t="s">
        <v>2831</v>
      </c>
      <c r="B2690" s="1" t="str">
        <f ca="1">IFERROR(__xludf.DUMMYFUNCTION("GOOGLETRANSLATE(A2690, ""en"", ""fr"")"),"SCIEMMENT")</f>
        <v>SCIEMMENT</v>
      </c>
      <c r="D2690" s="1" t="s">
        <v>4963</v>
      </c>
    </row>
    <row r="2691" spans="1:146" ht="14.25" customHeight="1" x14ac:dyDescent="0.3">
      <c r="A2691" s="1" t="s">
        <v>2832</v>
      </c>
      <c r="B2691" s="1" t="str">
        <f ca="1">IFERROR(__xludf.DUMMYFUNCTION("GOOGLETRANSLATE(A2691, ""en"", ""fr"")"),"KNPC")</f>
        <v>KNPC</v>
      </c>
      <c r="BD2691" s="1" t="s">
        <v>53</v>
      </c>
      <c r="CP2691" s="1" t="s">
        <v>91</v>
      </c>
      <c r="DT2691" s="1" t="s">
        <v>121</v>
      </c>
    </row>
    <row r="2692" spans="1:146" ht="14.25" customHeight="1" x14ac:dyDescent="0.3">
      <c r="A2692" s="1" t="s">
        <v>2833</v>
      </c>
      <c r="B2692" s="1" t="str">
        <f ca="1">IFERROR(__xludf.DUMMYFUNCTION("GOOGLETRANSLATE(A2692, ""en"", ""fr"")"),"Kole")</f>
        <v>Kole</v>
      </c>
      <c r="R2692" s="1" t="s">
        <v>15</v>
      </c>
      <c r="CS2692" s="1" t="s">
        <v>94</v>
      </c>
    </row>
    <row r="2693" spans="1:146" ht="14.25" customHeight="1" x14ac:dyDescent="0.3">
      <c r="A2693" s="1" t="s">
        <v>2834</v>
      </c>
      <c r="B2693" s="1" t="str">
        <f ca="1">IFERROR(__xludf.DUMMYFUNCTION("GOOGLETRANSLATE(A2693, ""en"", ""fr"")"),"ksa")</f>
        <v>ksa</v>
      </c>
      <c r="CL2693" s="1" t="s">
        <v>87</v>
      </c>
      <c r="CX2693" s="1" t="s">
        <v>99</v>
      </c>
      <c r="EK2693" s="1" t="s">
        <v>138</v>
      </c>
    </row>
    <row r="2694" spans="1:146" ht="14.25" customHeight="1" x14ac:dyDescent="0.3">
      <c r="A2694" s="1" t="s">
        <v>2835</v>
      </c>
      <c r="B2694" s="1" t="str">
        <f ca="1">IFERROR(__xludf.DUMMYFUNCTION("GOOGLETRANSLATE(A2694, ""en"", ""fr"")"),"Kuito")</f>
        <v>Kuito</v>
      </c>
      <c r="R2694" s="1" t="s">
        <v>15</v>
      </c>
      <c r="CS2694" s="1" t="s">
        <v>94</v>
      </c>
    </row>
    <row r="2695" spans="1:146" ht="14.25" customHeight="1" x14ac:dyDescent="0.3">
      <c r="A2695" s="1" t="s">
        <v>2836</v>
      </c>
      <c r="B2695" s="1" t="str">
        <f ca="1">IFERROR(__xludf.DUMMYFUNCTION("GOOGLETRANSLATE(A2695, ""en"", ""fr"")"),"Kumkol")</f>
        <v>Kumkol</v>
      </c>
      <c r="R2695" s="1" t="s">
        <v>15</v>
      </c>
      <c r="CS2695" s="1" t="s">
        <v>94</v>
      </c>
    </row>
    <row r="2696" spans="1:146" ht="14.25" customHeight="1" x14ac:dyDescent="0.3">
      <c r="A2696" s="1" t="s">
        <v>2837</v>
      </c>
      <c r="B2696" s="1" t="str">
        <f ca="1">IFERROR(__xludf.DUMMYFUNCTION("GOOGLETRANSLATE(A2696, ""en"", ""fr"")"),"kuparukoil")</f>
        <v>kuparukoil</v>
      </c>
      <c r="DD2696" s="1" t="s">
        <v>105</v>
      </c>
      <c r="DF2696" s="1" t="s">
        <v>107</v>
      </c>
      <c r="DK2696" s="1" t="s">
        <v>112</v>
      </c>
    </row>
    <row r="2697" spans="1:146" ht="14.25" customHeight="1" x14ac:dyDescent="0.3">
      <c r="A2697" s="1" t="s">
        <v>2838</v>
      </c>
      <c r="B2697" s="1" t="str">
        <f ca="1">IFERROR(__xludf.DUMMYFUNCTION("GOOGLETRANSLATE(A2697, ""en"", ""fr"")"),"kurmangazy")</f>
        <v>kurmangazy</v>
      </c>
      <c r="AK2697" s="1" t="s">
        <v>34</v>
      </c>
      <c r="CB2697" s="1" t="s">
        <v>77</v>
      </c>
      <c r="DD2697" s="1" t="s">
        <v>105</v>
      </c>
    </row>
    <row r="2698" spans="1:146" ht="14.25" customHeight="1" x14ac:dyDescent="0.3">
      <c r="A2698" s="1" t="s">
        <v>2839</v>
      </c>
      <c r="B2698" s="1" t="str">
        <f ca="1">IFERROR(__xludf.DUMMYFUNCTION("GOOGLETRANSLATE(A2698, ""en"", ""fr"")"),"Mélange kutubu")</f>
        <v>Mélange kutubu</v>
      </c>
      <c r="R2698" s="1" t="s">
        <v>15</v>
      </c>
      <c r="CS2698" s="1" t="s">
        <v>94</v>
      </c>
    </row>
    <row r="2699" spans="1:146" ht="14.25" customHeight="1" x14ac:dyDescent="0.3">
      <c r="A2699" s="1" t="s">
        <v>2840</v>
      </c>
      <c r="B2699" s="1" t="str">
        <f ca="1">IFERROR(__xludf.DUMMYFUNCTION("GOOGLETRANSLATE(A2699, ""en"", ""fr"")"),"Koweit")</f>
        <v>Koweit</v>
      </c>
      <c r="CL2699" s="1" t="s">
        <v>87</v>
      </c>
      <c r="CP2699" s="1" t="s">
        <v>91</v>
      </c>
    </row>
    <row r="2700" spans="1:146" ht="14.25" customHeight="1" x14ac:dyDescent="0.3">
      <c r="A2700" s="1" t="s">
        <v>2841</v>
      </c>
      <c r="B2700" s="1" t="str">
        <f ca="1">IFERROR(__xludf.DUMMYFUNCTION("GOOGLETRANSLATE(A2700, ""en"", ""fr"")"),"Mélange du Koweït")</f>
        <v>Mélange du Koweït</v>
      </c>
      <c r="R2700" s="1" t="s">
        <v>15</v>
      </c>
      <c r="CS2700" s="1" t="s">
        <v>94</v>
      </c>
    </row>
    <row r="2701" spans="1:146" ht="14.25" customHeight="1" x14ac:dyDescent="0.3">
      <c r="A2701" s="1" t="s">
        <v>2842</v>
      </c>
      <c r="B2701" s="1" t="str">
        <f ca="1">IFERROR(__xludf.DUMMYFUNCTION("GOOGLETRANSLATE(A2701, ""en"", ""fr"")"),"Koweït national")</f>
        <v>Koweït national</v>
      </c>
      <c r="BD2701" s="1" t="s">
        <v>53</v>
      </c>
      <c r="DT2701" s="1" t="s">
        <v>121</v>
      </c>
    </row>
    <row r="2702" spans="1:146" ht="14.25" customHeight="1" x14ac:dyDescent="0.3">
      <c r="A2702" s="1" t="s">
        <v>2843</v>
      </c>
      <c r="B2702" s="1" t="str">
        <f ca="1">IFERROR(__xludf.DUMMYFUNCTION("GOOGLETRANSLATE(A2702, ""en"", ""fr"")"),"La Mississippi Sweet")</f>
        <v>La Mississippi Sweet</v>
      </c>
      <c r="R2702" s="1" t="s">
        <v>15</v>
      </c>
      <c r="CS2702" s="1" t="s">
        <v>94</v>
      </c>
    </row>
    <row r="2703" spans="1:146" ht="14.25" customHeight="1" x14ac:dyDescent="0.3">
      <c r="A2703" s="1" t="s">
        <v>2844</v>
      </c>
      <c r="B2703" s="1" t="str">
        <f ca="1">IFERROR(__xludf.DUMMYFUNCTION("GOOGLETRANSLATE(A2703, ""en"", ""fr"")"),"force de travail")</f>
        <v>force de travail</v>
      </c>
      <c r="M2703" s="1" t="s">
        <v>10</v>
      </c>
    </row>
    <row r="2704" spans="1:146" ht="14.25" customHeight="1" x14ac:dyDescent="0.3">
      <c r="A2704" s="1" t="s">
        <v>2845</v>
      </c>
      <c r="B2704" s="1" t="str">
        <f ca="1">IFERROR(__xludf.DUMMYFUNCTION("GOOGLETRANSLATE(A2704, ""en"", ""fr"")"),"Labuan")</f>
        <v>Labuan</v>
      </c>
      <c r="R2704" s="1" t="s">
        <v>15</v>
      </c>
      <c r="CS2704" s="1" t="s">
        <v>94</v>
      </c>
    </row>
    <row r="2705" spans="1:114" ht="14.25" customHeight="1" x14ac:dyDescent="0.3">
      <c r="A2705" s="1" t="s">
        <v>2846</v>
      </c>
      <c r="B2705" s="1" t="str">
        <f ca="1">IFERROR(__xludf.DUMMYFUNCTION("GOOGLETRANSLATE(A2705, ""en"", ""fr"")"),"MANQUE")</f>
        <v>MANQUE</v>
      </c>
      <c r="D2705" s="1" t="s">
        <v>4963</v>
      </c>
    </row>
    <row r="2706" spans="1:114" ht="14.25" customHeight="1" x14ac:dyDescent="0.3">
      <c r="A2706" s="1" t="s">
        <v>2847</v>
      </c>
      <c r="B2706" s="1" t="str">
        <f ca="1">IFERROR(__xludf.DUMMYFUNCTION("GOOGLETRANSLATE(A2706, ""en"", ""fr"")"),"Manqué")</f>
        <v>Manqué</v>
      </c>
      <c r="D2706" s="1" t="s">
        <v>4963</v>
      </c>
    </row>
    <row r="2707" spans="1:114" ht="14.25" customHeight="1" x14ac:dyDescent="0.3">
      <c r="A2707" s="1" t="s">
        <v>2848</v>
      </c>
      <c r="B2707" s="1" t="str">
        <f ca="1">IFERROR(__xludf.DUMMYFUNCTION("GOOGLETRANSLATE(A2707, ""en"", ""fr"")"),"MANQUANT")</f>
        <v>MANQUANT</v>
      </c>
      <c r="D2707" s="1" t="s">
        <v>4963</v>
      </c>
    </row>
    <row r="2708" spans="1:114" ht="14.25" customHeight="1" x14ac:dyDescent="0.3">
      <c r="A2708" s="1" t="s">
        <v>2849</v>
      </c>
      <c r="B2708" s="1" t="str">
        <f ca="1">IFERROR(__xludf.DUMMYFUNCTION("GOOGLETRANSLATE(A2708, ""en"", ""fr"")"),"Terne")</f>
        <v>Terne</v>
      </c>
      <c r="D2708" s="1" t="s">
        <v>4963</v>
      </c>
    </row>
    <row r="2709" spans="1:114" ht="14.25" customHeight="1" x14ac:dyDescent="0.3">
      <c r="A2709" s="1" t="s">
        <v>2850</v>
      </c>
      <c r="B2709" s="1" t="str">
        <f ca="1">IFERROR(__xludf.DUMMYFUNCTION("GOOGLETRANSLATE(A2709, ""en"", ""fr"")"),"Absence")</f>
        <v>Absence</v>
      </c>
      <c r="D2709" s="1" t="s">
        <v>4963</v>
      </c>
    </row>
    <row r="2710" spans="1:114" ht="14.25" customHeight="1" x14ac:dyDescent="0.3">
      <c r="A2710" s="1" t="s">
        <v>2851</v>
      </c>
      <c r="B2710" s="1" t="str">
        <f ca="1">IFERROR(__xludf.DUMMYFUNCTION("GOOGLETRANSLATE(A2710, ""en"", ""fr"")"),"courbe de laffer")</f>
        <v>courbe de laffer</v>
      </c>
      <c r="M2710" s="1" t="s">
        <v>10</v>
      </c>
    </row>
    <row r="2711" spans="1:114" ht="14.25" customHeight="1" x14ac:dyDescent="0.3">
      <c r="A2711" s="1" t="s">
        <v>2852</v>
      </c>
      <c r="B2711" s="1" t="str">
        <f ca="1">IFERROR(__xludf.DUMMYFUNCTION("GOOGLETRANSLATE(A2711, ""en"", ""fr"")"),"DÉCALAGE")</f>
        <v>DÉCALAGE</v>
      </c>
      <c r="D2711" s="1" t="s">
        <v>4963</v>
      </c>
    </row>
    <row r="2712" spans="1:114" ht="14.25" customHeight="1" x14ac:dyDescent="0.3">
      <c r="A2712" s="1" t="s">
        <v>2853</v>
      </c>
      <c r="B2712" s="1" t="str">
        <f ca="1">IFERROR(__xludf.DUMMYFUNCTION("GOOGLETRANSLATE(A2712, ""en"", ""fr"")"),"Émouvant")</f>
        <v>Émouvant</v>
      </c>
      <c r="D2712" s="1" t="s">
        <v>4963</v>
      </c>
    </row>
    <row r="2713" spans="1:114" ht="14.25" customHeight="1" x14ac:dyDescent="0.3">
      <c r="A2713" s="1" t="s">
        <v>2854</v>
      </c>
      <c r="B2713" s="1" t="str">
        <f ca="1">IFERROR(__xludf.DUMMYFUNCTION("GOOGLETRANSLATE(A2713, ""en"", ""fr"")"),"À la traîne")</f>
        <v>À la traîne</v>
      </c>
      <c r="D2713" s="1" t="s">
        <v>4963</v>
      </c>
    </row>
    <row r="2714" spans="1:114" ht="14.25" customHeight="1" x14ac:dyDescent="0.3">
      <c r="A2714" s="1" t="s">
        <v>2855</v>
      </c>
      <c r="B2714" s="1" t="str">
        <f ca="1">IFERROR(__xludf.DUMMYFUNCTION("GOOGLETRANSLATE(A2714, ""en"", ""fr"")"),"indicateur à la traîne")</f>
        <v>indicateur à la traîne</v>
      </c>
      <c r="M2714" s="1" t="s">
        <v>10</v>
      </c>
    </row>
    <row r="2715" spans="1:114" ht="14.25" customHeight="1" x14ac:dyDescent="0.3">
      <c r="A2715" s="1" t="s">
        <v>2856</v>
      </c>
      <c r="B2715" s="1" t="str">
        <f ca="1">IFERROR(__xludf.DUMMYFUNCTION("GOOGLETRANSLATE(A2715, ""en"", ""fr"")"),"Décalage")</f>
        <v>Décalage</v>
      </c>
      <c r="D2715" s="1" t="s">
        <v>4963</v>
      </c>
    </row>
    <row r="2716" spans="1:114" ht="14.25" customHeight="1" x14ac:dyDescent="0.3">
      <c r="A2716" s="1" t="s">
        <v>2857</v>
      </c>
      <c r="B2716" s="1" t="str">
        <f ca="1">IFERROR(__xludf.DUMMYFUNCTION("GOOGLETRANSLATE(A2716, ""en"", ""fr"")"),"Laguna")</f>
        <v>Laguna</v>
      </c>
      <c r="R2716" s="1" t="s">
        <v>15</v>
      </c>
      <c r="CS2716" s="1" t="s">
        <v>94</v>
      </c>
    </row>
    <row r="2717" spans="1:114" ht="14.25" customHeight="1" x14ac:dyDescent="0.3">
      <c r="A2717" s="1" t="s">
        <v>2858</v>
      </c>
      <c r="B2717" s="1" t="str">
        <f ca="1">IFERROR(__xludf.DUMMYFUNCTION("GOOGLETRANSLATE(A2717, ""en"", ""fr"")"),"lissez-faire")</f>
        <v>lissez-faire</v>
      </c>
      <c r="M2717" s="1" t="s">
        <v>10</v>
      </c>
    </row>
    <row r="2718" spans="1:114" ht="14.25" customHeight="1" x14ac:dyDescent="0.3">
      <c r="A2718" s="1" t="s">
        <v>2859</v>
      </c>
      <c r="B2718" s="1" t="str">
        <f ca="1">IFERROR(__xludf.DUMMYFUNCTION("GOOGLETRANSLATE(A2718, ""en"", ""fr"")"),"raffinerie du lac Charles")</f>
        <v>raffinerie du lac Charles</v>
      </c>
      <c r="BF2718" s="1" t="s">
        <v>55</v>
      </c>
      <c r="BI2718" s="1" t="s">
        <v>58</v>
      </c>
      <c r="CO2718" s="1" t="s">
        <v>90</v>
      </c>
      <c r="DJ2718" s="1" t="s">
        <v>111</v>
      </c>
    </row>
    <row r="2719" spans="1:114" ht="14.25" customHeight="1" x14ac:dyDescent="0.3">
      <c r="A2719" s="1" t="s">
        <v>2860</v>
      </c>
      <c r="B2719" s="1" t="str">
        <f ca="1">IFERROR(__xludf.DUMMYFUNCTION("GOOGLETRANSLATE(A2719, ""en"", ""fr"")"),"Laminaria")</f>
        <v>Laminaria</v>
      </c>
      <c r="R2719" s="1" t="s">
        <v>15</v>
      </c>
      <c r="CS2719" s="1" t="s">
        <v>94</v>
      </c>
    </row>
    <row r="2720" spans="1:114" ht="14.25" customHeight="1" x14ac:dyDescent="0.3">
      <c r="A2720" s="1" t="s">
        <v>2861</v>
      </c>
      <c r="B2720" s="1" t="str">
        <f ca="1">IFERROR(__xludf.DUMMYFUNCTION("GOOGLETRANSLATE(A2720, ""en"", ""fr"")"),"LAPS")</f>
        <v>LAPS</v>
      </c>
      <c r="D2720" s="1" t="s">
        <v>4963</v>
      </c>
    </row>
    <row r="2721" spans="1:134" ht="14.25" customHeight="1" x14ac:dyDescent="0.3">
      <c r="A2721" s="1" t="s">
        <v>2862</v>
      </c>
      <c r="B2721" s="1" t="str">
        <f ca="1">IFERROR(__xludf.DUMMYFUNCTION("GOOGLETRANSLATE(A2721, ""en"", ""fr"")"),"Impatient")</f>
        <v>Impatient</v>
      </c>
      <c r="D2721" s="1" t="s">
        <v>4963</v>
      </c>
    </row>
    <row r="2722" spans="1:134" ht="14.25" customHeight="1" x14ac:dyDescent="0.3">
      <c r="A2722" s="1" t="s">
        <v>2863</v>
      </c>
      <c r="B2722" s="1" t="str">
        <f ca="1">IFERROR(__xludf.DUMMYFUNCTION("GOOGLETRANSLATE(A2722, ""en"", ""fr"")"),"Tours")</f>
        <v>Tours</v>
      </c>
      <c r="D2722" s="1" t="s">
        <v>4963</v>
      </c>
    </row>
    <row r="2723" spans="1:134" ht="14.25" customHeight="1" x14ac:dyDescent="0.3">
      <c r="A2723" s="1" t="s">
        <v>2864</v>
      </c>
      <c r="B2723" s="1" t="str">
        <f ca="1">IFERROR(__xludf.DUMMYFUNCTION("GOOGLETRANSLATE(A2723, ""en"", ""fr"")"),"PÉREMPTION")</f>
        <v>PÉREMPTION</v>
      </c>
      <c r="D2723" s="1" t="s">
        <v>4963</v>
      </c>
    </row>
    <row r="2724" spans="1:134" ht="14.25" customHeight="1" x14ac:dyDescent="0.3">
      <c r="A2724" s="1" t="s">
        <v>2865</v>
      </c>
      <c r="B2724" s="1" t="str">
        <f ca="1">IFERROR(__xludf.DUMMYFUNCTION("GOOGLETRANSLATE(A2724, ""en"", ""fr"")"),"dernier entré, premier sorti")</f>
        <v>dernier entré, premier sorti</v>
      </c>
      <c r="CR2724" s="1" t="s">
        <v>93</v>
      </c>
    </row>
    <row r="2725" spans="1:134" ht="14.25" customHeight="1" x14ac:dyDescent="0.3">
      <c r="A2725" s="1" t="s">
        <v>2866</v>
      </c>
      <c r="B2725" s="1" t="str">
        <f ca="1">IFERROR(__xludf.DUMMYFUNCTION("GOOGLETRANSLATE(A2725, ""en"", ""fr"")"),"EN RETARD")</f>
        <v>EN RETARD</v>
      </c>
      <c r="D2725" s="1" t="s">
        <v>4963</v>
      </c>
    </row>
    <row r="2726" spans="1:134" ht="14.25" customHeight="1" x14ac:dyDescent="0.3">
      <c r="A2726" s="1" t="s">
        <v>2867</v>
      </c>
      <c r="B2726" s="1" t="str">
        <f ca="1">IFERROR(__xludf.DUMMYFUNCTION("GOOGLETRANSLATE(A2726, ""en"", ""fr"")"),"Blanchiment")</f>
        <v>Blanchiment</v>
      </c>
      <c r="D2726" s="1" t="s">
        <v>4963</v>
      </c>
    </row>
    <row r="2727" spans="1:134" ht="14.25" customHeight="1" x14ac:dyDescent="0.3">
      <c r="A2727" s="1" t="s">
        <v>2868</v>
      </c>
      <c r="B2727" s="1" t="str">
        <f ca="1">IFERROR(__xludf.DUMMYFUNCTION("GOOGLETRANSLATE(A2727, ""en"", ""fr"")"),"Lavan Mélange")</f>
        <v>Lavan Mélange</v>
      </c>
      <c r="R2727" s="1" t="s">
        <v>15</v>
      </c>
      <c r="CS2727" s="1" t="s">
        <v>94</v>
      </c>
    </row>
    <row r="2728" spans="1:134" ht="14.25" customHeight="1" x14ac:dyDescent="0.3">
      <c r="A2728" s="1" t="s">
        <v>2869</v>
      </c>
      <c r="B2728" s="1" t="str">
        <f ca="1">IFERROR(__xludf.DUMMYFUNCTION("GOOGLETRANSLATE(A2728, ""en"", ""fr"")"),"droit de la demande")</f>
        <v>droit de la demande</v>
      </c>
      <c r="M2728" s="1" t="s">
        <v>10</v>
      </c>
    </row>
    <row r="2729" spans="1:134" ht="14.25" customHeight="1" x14ac:dyDescent="0.3">
      <c r="A2729" s="1" t="s">
        <v>2870</v>
      </c>
      <c r="B2729" s="1" t="str">
        <f ca="1">IFERROR(__xludf.DUMMYFUNCTION("GOOGLETRANSLATE(A2729, ""en"", ""fr"")"),"droit de l'offre")</f>
        <v>droit de l'offre</v>
      </c>
      <c r="M2729" s="1" t="s">
        <v>10</v>
      </c>
    </row>
    <row r="2730" spans="1:134" ht="14.25" customHeight="1" x14ac:dyDescent="0.3">
      <c r="A2730" s="1" t="s">
        <v>2871</v>
      </c>
      <c r="B2730" s="1" t="str">
        <f ca="1">IFERROR(__xludf.DUMMYFUNCTION("GOOGLETRANSLATE(A2730, ""en"", ""fr"")"),"LICENCIER")</f>
        <v>LICENCIER</v>
      </c>
      <c r="D2730" s="1" t="s">
        <v>4963</v>
      </c>
    </row>
    <row r="2731" spans="1:134" ht="14.25" customHeight="1" x14ac:dyDescent="0.3">
      <c r="A2731" s="1" t="s">
        <v>2872</v>
      </c>
      <c r="B2731" s="1" t="str">
        <f ca="1">IFERROR(__xludf.DUMMYFUNCTION("GOOGLETRANSLATE(A2731, ""en"", ""fr"")"),"Licenciements")</f>
        <v>Licenciements</v>
      </c>
      <c r="D2731" s="1" t="s">
        <v>4963</v>
      </c>
    </row>
    <row r="2732" spans="1:134" ht="14.25" customHeight="1" x14ac:dyDescent="0.3">
      <c r="A2732" s="1" t="s">
        <v>2873</v>
      </c>
      <c r="B2732" s="1" t="str">
        <f ca="1">IFERROR(__xludf.DUMMYFUNCTION("GOOGLETRANSLATE(A2732, ""en"", ""fr"")"),"LCO")</f>
        <v>LCO</v>
      </c>
      <c r="R2732" s="1" t="s">
        <v>15</v>
      </c>
      <c r="CV2732" s="1" t="s">
        <v>97</v>
      </c>
      <c r="ED2732" s="1" t="s">
        <v>131</v>
      </c>
    </row>
    <row r="2733" spans="1:134" ht="14.25" customHeight="1" x14ac:dyDescent="0.3">
      <c r="A2733" s="1" t="s">
        <v>2874</v>
      </c>
      <c r="B2733" s="1" t="str">
        <f ca="1">IFERROR(__xludf.DUMMYFUNCTION("GOOGLETRANSLATE(A2733, ""en"", ""fr"")"),"DIRECTION")</f>
        <v>DIRECTION</v>
      </c>
      <c r="H2733" s="1" t="s">
        <v>4964</v>
      </c>
    </row>
    <row r="2734" spans="1:134" ht="14.25" customHeight="1" x14ac:dyDescent="0.3">
      <c r="A2734" s="1" t="s">
        <v>2875</v>
      </c>
      <c r="B2734" s="1" t="str">
        <f ca="1">IFERROR(__xludf.DUMMYFUNCTION("GOOGLETRANSLATE(A2734, ""en"", ""fr"")"),"MENANT")</f>
        <v>MENANT</v>
      </c>
      <c r="H2734" s="1" t="s">
        <v>4964</v>
      </c>
    </row>
    <row r="2735" spans="1:134" ht="14.25" customHeight="1" x14ac:dyDescent="0.3">
      <c r="A2735" s="1" t="s">
        <v>2876</v>
      </c>
      <c r="B2735" s="1" t="str">
        <f ca="1">IFERROR(__xludf.DUMMYFUNCTION("GOOGLETRANSLATE(A2735, ""en"", ""fr"")"),"indicateur principal")</f>
        <v>indicateur principal</v>
      </c>
      <c r="M2735" s="1" t="s">
        <v>10</v>
      </c>
    </row>
    <row r="2736" spans="1:134" ht="14.25" customHeight="1" x14ac:dyDescent="0.3">
      <c r="A2736" s="1" t="s">
        <v>2877</v>
      </c>
      <c r="B2736" s="1" t="str">
        <f ca="1">IFERROR(__xludf.DUMMYFUNCTION("GOOGLETRANSLATE(A2736, ""en"", ""fr"")"),"indicateur de rouge à lèvres")</f>
        <v>indicateur de rouge à lèvres</v>
      </c>
      <c r="M2736" s="1" t="s">
        <v>10</v>
      </c>
    </row>
    <row r="2737" spans="1:142" ht="14.25" customHeight="1" x14ac:dyDescent="0.3">
      <c r="A2737" s="1" t="s">
        <v>2878</v>
      </c>
      <c r="B2737" s="1" t="str">
        <f ca="1">IFERROR(__xludf.DUMMYFUNCTION("GOOGLETRANSLATE(A2737, ""en"", ""fr"")"),"location")</f>
        <v>location</v>
      </c>
      <c r="CR2737" s="1" t="s">
        <v>93</v>
      </c>
    </row>
    <row r="2738" spans="1:142" ht="14.25" customHeight="1" x14ac:dyDescent="0.3">
      <c r="A2738" s="1" t="s">
        <v>2879</v>
      </c>
      <c r="B2738" s="1" t="str">
        <f ca="1">IFERROR(__xludf.DUMMYFUNCTION("GOOGLETRANSLATE(A2738, ""en"", ""fr"")"),"Séparateur de location")</f>
        <v>Séparateur de location</v>
      </c>
      <c r="E2738" s="1" t="s">
        <v>3</v>
      </c>
    </row>
    <row r="2739" spans="1:142" ht="14.25" customHeight="1" x14ac:dyDescent="0.3">
      <c r="A2739" s="1" t="s">
        <v>2880</v>
      </c>
      <c r="B2739" s="1" t="str">
        <f ca="1">IFERROR(__xludf.DUMMYFUNCTION("GOOGLETRANSLATE(A2739, ""en"", ""fr"")"),"lettre de crédit")</f>
        <v>lettre de crédit</v>
      </c>
      <c r="CR2739" s="1" t="s">
        <v>93</v>
      </c>
    </row>
    <row r="2740" spans="1:142" ht="14.25" customHeight="1" x14ac:dyDescent="0.3">
      <c r="A2740" s="1" t="s">
        <v>2881</v>
      </c>
      <c r="B2740" s="1" t="str">
        <f ca="1">IFERROR(__xludf.DUMMYFUNCTION("GOOGLETRANSLATE(A2740, ""en"", ""fr"")"),"effet de levier")</f>
        <v>effet de levier</v>
      </c>
      <c r="CR2740" s="1" t="s">
        <v>93</v>
      </c>
    </row>
    <row r="2741" spans="1:142" ht="14.25" customHeight="1" x14ac:dyDescent="0.3">
      <c r="A2741" s="1" t="s">
        <v>2882</v>
      </c>
      <c r="B2741" s="1" t="str">
        <f ca="1">IFERROR(__xludf.DUMMYFUNCTION("GOOGLETRANSLATE(A2741, ""en"", ""fr"")"),"rapport de levier")</f>
        <v>rapport de levier</v>
      </c>
      <c r="CR2741" s="1" t="s">
        <v>93</v>
      </c>
      <c r="EF2741" s="1" t="s">
        <v>133</v>
      </c>
    </row>
    <row r="2742" spans="1:142" ht="14.25" customHeight="1" x14ac:dyDescent="0.3">
      <c r="A2742" s="1" t="s">
        <v>2883</v>
      </c>
      <c r="B2742" s="1" t="str">
        <f ca="1">IFERROR(__xludf.DUMMYFUNCTION("GOOGLETRANSLATE(A2742, ""en"", ""fr"")"),"Passifs")</f>
        <v>Passifs</v>
      </c>
      <c r="CR2742" s="1" t="s">
        <v>93</v>
      </c>
    </row>
    <row r="2743" spans="1:142" ht="14.25" customHeight="1" x14ac:dyDescent="0.3">
      <c r="A2743" s="1" t="s">
        <v>2884</v>
      </c>
      <c r="B2743" s="1" t="str">
        <f ca="1">IFERROR(__xludf.DUMMYFUNCTION("GOOGLETRANSLATE(A2743, ""en"", ""fr"")"),"libor")</f>
        <v>libor</v>
      </c>
      <c r="CR2743" s="1" t="s">
        <v>93</v>
      </c>
    </row>
    <row r="2744" spans="1:142" ht="14.25" customHeight="1" x14ac:dyDescent="0.3">
      <c r="A2744" s="1" t="s">
        <v>2885</v>
      </c>
      <c r="B2744" s="1" t="str">
        <f ca="1">IFERROR(__xludf.DUMMYFUNCTION("GOOGLETRANSLATE(A2744, ""en"", ""fr"")"),"Libye")</f>
        <v>Libye</v>
      </c>
      <c r="CL2744" s="1" t="s">
        <v>87</v>
      </c>
      <c r="CW2744" s="1" t="s">
        <v>98</v>
      </c>
    </row>
    <row r="2745" spans="1:142" ht="14.25" customHeight="1" x14ac:dyDescent="0.3">
      <c r="A2745" s="1" t="s">
        <v>2886</v>
      </c>
      <c r="B2745" s="1" t="str">
        <f ca="1">IFERROR(__xludf.DUMMYFUNCTION("GOOGLETRANSLATE(A2745, ""en"", ""fr"")"),"Huile nationale en Libye")</f>
        <v>Huile nationale en Libye</v>
      </c>
      <c r="K2745" s="1" t="s">
        <v>8</v>
      </c>
      <c r="CL2745" s="1" t="s">
        <v>87</v>
      </c>
      <c r="CW2745" s="1" t="s">
        <v>98</v>
      </c>
      <c r="DT2745" s="1" t="s">
        <v>121</v>
      </c>
    </row>
    <row r="2746" spans="1:142" ht="14.25" customHeight="1" x14ac:dyDescent="0.3">
      <c r="A2746" s="1" t="s">
        <v>2887</v>
      </c>
      <c r="B2746" s="1" t="str">
        <f ca="1">IFERROR(__xludf.DUMMYFUNCTION("GOOGLETRANSLATE(A2746, ""en"", ""fr"")"),"huile nationale libyenne")</f>
        <v>huile nationale libyenne</v>
      </c>
      <c r="K2746" s="1" t="s">
        <v>8</v>
      </c>
      <c r="CL2746" s="1" t="s">
        <v>87</v>
      </c>
      <c r="CW2746" s="1" t="s">
        <v>98</v>
      </c>
      <c r="DT2746" s="1" t="s">
        <v>121</v>
      </c>
    </row>
    <row r="2747" spans="1:142" ht="14.25" customHeight="1" x14ac:dyDescent="0.3">
      <c r="A2747" s="1" t="s">
        <v>2888</v>
      </c>
      <c r="B2747" s="1" t="str">
        <f ca="1">IFERROR(__xludf.DUMMYFUNCTION("GOOGLETRANSLATE(A2747, ""en"", ""fr"")"),"MENSONGE")</f>
        <v>MENSONGE</v>
      </c>
      <c r="D2747" s="1" t="s">
        <v>4963</v>
      </c>
    </row>
    <row r="2748" spans="1:142" ht="14.25" customHeight="1" x14ac:dyDescent="0.3">
      <c r="A2748" s="1" t="s">
        <v>2889</v>
      </c>
      <c r="B2748" s="1" t="str">
        <f ca="1">IFERROR(__xludf.DUMMYFUNCTION("GOOGLETRANSLATE(A2748, ""en"", ""fr"")"),"cycle de vie")</f>
        <v>cycle de vie</v>
      </c>
      <c r="M2748" s="1" t="s">
        <v>10</v>
      </c>
    </row>
    <row r="2749" spans="1:142" ht="14.25" customHeight="1" x14ac:dyDescent="0.3">
      <c r="A2749" s="1" t="s">
        <v>2890</v>
      </c>
      <c r="B2749" s="1" t="str">
        <f ca="1">IFERROR(__xludf.DUMMYFUNCTION("GOOGLETRANSLATE(A2749, ""en"", ""fr"")"),"lifo")</f>
        <v>lifo</v>
      </c>
      <c r="CR2749" s="1" t="s">
        <v>93</v>
      </c>
    </row>
    <row r="2750" spans="1:142" ht="14.25" customHeight="1" x14ac:dyDescent="0.3">
      <c r="A2750" s="1" t="s">
        <v>2891</v>
      </c>
      <c r="B2750" s="1" t="str">
        <f ca="1">IFERROR(__xludf.DUMMYFUNCTION("GOOGLETRANSLATE(A2750, ""en"", ""fr"")"),"brut léger")</f>
        <v>brut léger</v>
      </c>
      <c r="CV2750" s="1" t="s">
        <v>97</v>
      </c>
      <c r="ED2750" s="1" t="s">
        <v>131</v>
      </c>
    </row>
    <row r="2751" spans="1:142" ht="14.25" customHeight="1" x14ac:dyDescent="0.3">
      <c r="A2751" s="1" t="s">
        <v>2892</v>
      </c>
      <c r="B2751" s="1" t="str">
        <f ca="1">IFERROR(__xludf.DUMMYFUNCTION("GOOGLETRANSLATE(A2751, ""en"", ""fr"")"),"Pétrole brut léger")</f>
        <v>Pétrole brut léger</v>
      </c>
      <c r="EL2751" s="1" t="s">
        <v>139</v>
      </c>
    </row>
    <row r="2752" spans="1:142" ht="14.25" customHeight="1" x14ac:dyDescent="0.3">
      <c r="A2752" s="1" t="s">
        <v>2893</v>
      </c>
      <c r="B2752" s="1" t="str">
        <f ca="1">IFERROR(__xludf.DUMMYFUNCTION("GOOGLETRANSLATE(A2752, ""en"", ""fr"")"),"Louisiane légère douce")</f>
        <v>Louisiane légère douce</v>
      </c>
      <c r="R2752" s="1" t="s">
        <v>15</v>
      </c>
      <c r="CS2752" s="1" t="s">
        <v>94</v>
      </c>
    </row>
    <row r="2753" spans="1:132" ht="14.25" customHeight="1" x14ac:dyDescent="0.3">
      <c r="A2753" s="1" t="s">
        <v>2894</v>
      </c>
      <c r="B2753" s="1" t="str">
        <f ca="1">IFERROR(__xludf.DUMMYFUNCTION("GOOGLETRANSLATE(A2753, ""en"", ""fr"")"),"huile légère")</f>
        <v>huile légère</v>
      </c>
      <c r="R2753" s="1" t="s">
        <v>15</v>
      </c>
    </row>
    <row r="2754" spans="1:132" ht="14.25" customHeight="1" x14ac:dyDescent="0.3">
      <c r="A2754" s="1" t="s">
        <v>2895</v>
      </c>
      <c r="B2754" s="1" t="str">
        <f ca="1">IFERROR(__xludf.DUMMYFUNCTION("GOOGLETRANSLATE(A2754, ""en"", ""fr"")"),"léger doux")</f>
        <v>léger doux</v>
      </c>
      <c r="R2754" s="1" t="s">
        <v>15</v>
      </c>
      <c r="CV2754" s="1" t="s">
        <v>97</v>
      </c>
    </row>
    <row r="2755" spans="1:132" ht="14.25" customHeight="1" x14ac:dyDescent="0.3">
      <c r="A2755" s="1" t="s">
        <v>2896</v>
      </c>
      <c r="B2755" s="1" t="str">
        <f ca="1">IFERROR(__xludf.DUMMYFUNCTION("GOOGLETRANSLATE(A2755, ""en"", ""fr"")"),"comme")</f>
        <v>comme</v>
      </c>
      <c r="J2755" s="1" t="s">
        <v>7</v>
      </c>
    </row>
    <row r="2756" spans="1:132" ht="14.25" customHeight="1" x14ac:dyDescent="0.3">
      <c r="A2756" s="1" t="s">
        <v>2897</v>
      </c>
      <c r="B2756" s="1" t="str">
        <f ca="1">IFERROR(__xludf.DUMMYFUNCTION("GOOGLETRANSLATE(A2756, ""en"", ""fr"")"),"LIMITATION")</f>
        <v>LIMITATION</v>
      </c>
      <c r="D2756" s="1" t="s">
        <v>4963</v>
      </c>
    </row>
    <row r="2757" spans="1:132" ht="14.25" customHeight="1" x14ac:dyDescent="0.3">
      <c r="A2757" s="1" t="s">
        <v>2898</v>
      </c>
      <c r="B2757" s="1" t="str">
        <f ca="1">IFERROR(__xludf.DUMMYFUNCTION("GOOGLETRANSLATE(A2757, ""en"", ""fr"")"),"LIMITES")</f>
        <v>LIMITES</v>
      </c>
      <c r="D2757" s="1" t="s">
        <v>4963</v>
      </c>
    </row>
    <row r="2758" spans="1:132" ht="14.25" customHeight="1" x14ac:dyDescent="0.3">
      <c r="A2758" s="1" t="s">
        <v>2899</v>
      </c>
      <c r="B2758" s="1" t="str">
        <f ca="1">IFERROR(__xludf.DUMMYFUNCTION("GOOGLETRANSLATE(A2758, ""en"", ""fr"")"),"ligne de credit")</f>
        <v>ligne de credit</v>
      </c>
      <c r="CR2758" s="1" t="s">
        <v>93</v>
      </c>
    </row>
    <row r="2759" spans="1:132" ht="14.25" customHeight="1" x14ac:dyDescent="0.3">
      <c r="A2759" s="1" t="s">
        <v>2900</v>
      </c>
      <c r="B2759" s="1" t="str">
        <f ca="1">IFERROR(__xludf.DUMMYFUNCTION("GOOGLETRANSLATE(A2759, ""en"", ""fr"")"),"Doublure")</f>
        <v>Doublure</v>
      </c>
      <c r="AY2759" s="1" t="s">
        <v>48</v>
      </c>
    </row>
    <row r="2760" spans="1:132" ht="14.25" customHeight="1" x14ac:dyDescent="0.3">
      <c r="A2760" s="1" t="s">
        <v>2901</v>
      </c>
      <c r="B2760" s="1" t="str">
        <f ca="1">IFERROR(__xludf.DUMMYFUNCTION("GOOGLETRANSLATE(A2760, ""en"", ""fr"")"),"PERSISTANT")</f>
        <v>PERSISTANT</v>
      </c>
      <c r="D2760" s="1" t="s">
        <v>4963</v>
      </c>
    </row>
    <row r="2761" spans="1:132" ht="14.25" customHeight="1" x14ac:dyDescent="0.3">
      <c r="A2761" s="1" t="s">
        <v>2902</v>
      </c>
      <c r="B2761" s="1" t="str">
        <f ca="1">IFERROR(__xludf.DUMMYFUNCTION("GOOGLETRANSLATE(A2761, ""en"", ""fr"")"),"raffinerie linos")</f>
        <v>raffinerie linos</v>
      </c>
      <c r="F2761" s="1" t="s">
        <v>4</v>
      </c>
      <c r="BF2761" s="1" t="s">
        <v>55</v>
      </c>
      <c r="BY2761" s="1" t="s">
        <v>74</v>
      </c>
      <c r="EB2761" s="1" t="s">
        <v>129</v>
      </c>
    </row>
    <row r="2762" spans="1:132" ht="14.25" customHeight="1" x14ac:dyDescent="0.3">
      <c r="A2762" s="1" t="s">
        <v>2903</v>
      </c>
      <c r="B2762" s="1" t="str">
        <f ca="1">IFERROR(__xludf.DUMMYFUNCTION("GOOGLETRANSLATE(A2762, ""en"", ""fr"")"),"Brut lion")</f>
        <v>Brut lion</v>
      </c>
      <c r="R2762" s="1" t="s">
        <v>15</v>
      </c>
      <c r="CS2762" s="1" t="s">
        <v>94</v>
      </c>
    </row>
    <row r="2763" spans="1:132" ht="14.25" customHeight="1" x14ac:dyDescent="0.3">
      <c r="A2763" s="1" t="s">
        <v>2904</v>
      </c>
      <c r="B2763" s="1" t="str">
        <f ca="1">IFERROR(__xludf.DUMMYFUNCTION("GOOGLETRANSLATE(A2763, ""en"", ""fr"")"),"gaz naturel liquéfié")</f>
        <v>gaz naturel liquéfié</v>
      </c>
      <c r="R2763" s="1" t="s">
        <v>15</v>
      </c>
    </row>
    <row r="2764" spans="1:132" ht="14.25" customHeight="1" x14ac:dyDescent="0.3">
      <c r="A2764" s="1" t="s">
        <v>2905</v>
      </c>
      <c r="B2764" s="1" t="str">
        <f ca="1">IFERROR(__xludf.DUMMYFUNCTION("GOOGLETRANSLATE(A2764, ""en"", ""fr"")"),"gaz de pétrole liquéfié")</f>
        <v>gaz de pétrole liquéfié</v>
      </c>
      <c r="R2764" s="1" t="s">
        <v>15</v>
      </c>
    </row>
    <row r="2765" spans="1:132" ht="14.25" customHeight="1" x14ac:dyDescent="0.3">
      <c r="A2765" s="1" t="s">
        <v>2906</v>
      </c>
      <c r="B2765" s="1" t="str">
        <f ca="1">IFERROR(__xludf.DUMMYFUNCTION("GOOGLETRANSLATE(A2765, ""en"", ""fr"")"),"LIQUIDER")</f>
        <v>LIQUIDER</v>
      </c>
      <c r="D2765" s="1" t="s">
        <v>4963</v>
      </c>
    </row>
    <row r="2766" spans="1:132" ht="14.25" customHeight="1" x14ac:dyDescent="0.3">
      <c r="A2766" s="1" t="s">
        <v>2907</v>
      </c>
      <c r="B2766" s="1" t="str">
        <f ca="1">IFERROR(__xludf.DUMMYFUNCTION("GOOGLETRANSLATE(A2766, ""en"", ""fr"")"),"Liquidé")</f>
        <v>Liquidé</v>
      </c>
      <c r="D2766" s="1" t="s">
        <v>4963</v>
      </c>
    </row>
    <row r="2767" spans="1:132" ht="14.25" customHeight="1" x14ac:dyDescent="0.3">
      <c r="A2767" s="1" t="s">
        <v>2908</v>
      </c>
      <c r="B2767" s="1" t="str">
        <f ca="1">IFERROR(__xludf.DUMMYFUNCTION("GOOGLETRANSLATE(A2767, ""en"", ""fr"")"),"Liquider")</f>
        <v>Liquider</v>
      </c>
      <c r="D2767" s="1" t="s">
        <v>4963</v>
      </c>
    </row>
    <row r="2768" spans="1:132" ht="14.25" customHeight="1" x14ac:dyDescent="0.3">
      <c r="A2768" s="1" t="s">
        <v>2909</v>
      </c>
      <c r="B2768" s="1" t="str">
        <f ca="1">IFERROR(__xludf.DUMMYFUNCTION("GOOGLETRANSLATE(A2768, ""en"", ""fr"")"),"Liquidation")</f>
        <v>Liquidation</v>
      </c>
      <c r="D2768" s="1" t="s">
        <v>4963</v>
      </c>
    </row>
    <row r="2769" spans="1:136" ht="14.25" customHeight="1" x14ac:dyDescent="0.3">
      <c r="A2769" s="1" t="s">
        <v>2910</v>
      </c>
      <c r="B2769" s="1" t="str">
        <f ca="1">IFERROR(__xludf.DUMMYFUNCTION("GOOGLETRANSLATE(A2769, ""en"", ""fr"")"),"LIQUIDATION")</f>
        <v>LIQUIDATION</v>
      </c>
      <c r="D2769" s="1" t="s">
        <v>4963</v>
      </c>
    </row>
    <row r="2770" spans="1:136" ht="14.25" customHeight="1" x14ac:dyDescent="0.3">
      <c r="A2770" s="1" t="s">
        <v>2911</v>
      </c>
      <c r="B2770" s="1" t="str">
        <f ca="1">IFERROR(__xludf.DUMMYFUNCTION("GOOGLETRANSLATE(A2770, ""en"", ""fr"")"),"Liquidations")</f>
        <v>Liquidations</v>
      </c>
      <c r="D2770" s="1" t="s">
        <v>4963</v>
      </c>
    </row>
    <row r="2771" spans="1:136" ht="14.25" customHeight="1" x14ac:dyDescent="0.3">
      <c r="A2771" s="1" t="s">
        <v>2912</v>
      </c>
      <c r="B2771" s="1" t="str">
        <f ca="1">IFERROR(__xludf.DUMMYFUNCTION("GOOGLETRANSLATE(A2771, ""en"", ""fr"")"),"Liquidateur")</f>
        <v>Liquidateur</v>
      </c>
      <c r="D2771" s="1" t="s">
        <v>4963</v>
      </c>
    </row>
    <row r="2772" spans="1:136" ht="14.25" customHeight="1" x14ac:dyDescent="0.3">
      <c r="A2772" s="1" t="s">
        <v>2913</v>
      </c>
      <c r="B2772" s="1" t="str">
        <f ca="1">IFERROR(__xludf.DUMMYFUNCTION("GOOGLETRANSLATE(A2772, ""en"", ""fr"")"),"Liquidateurs")</f>
        <v>Liquidateurs</v>
      </c>
      <c r="D2772" s="1" t="s">
        <v>4963</v>
      </c>
    </row>
    <row r="2773" spans="1:136" ht="14.25" customHeight="1" x14ac:dyDescent="0.3">
      <c r="A2773" s="1" t="s">
        <v>2914</v>
      </c>
      <c r="B2773" s="1" t="str">
        <f ca="1">IFERROR(__xludf.DUMMYFUNCTION("GOOGLETRANSLATE(A2773, ""en"", ""fr"")"),"liquidité")</f>
        <v>liquidité</v>
      </c>
      <c r="CR2773" s="1" t="s">
        <v>93</v>
      </c>
    </row>
    <row r="2774" spans="1:136" ht="14.25" customHeight="1" x14ac:dyDescent="0.3">
      <c r="A2774" s="1" t="s">
        <v>2915</v>
      </c>
      <c r="B2774" s="1" t="str">
        <f ca="1">IFERROR(__xludf.DUMMYFUNCTION("GOOGLETRANSLATE(A2774, ""en"", ""fr"")"),"Théorie des préférences de liquidité")</f>
        <v>Théorie des préférences de liquidité</v>
      </c>
      <c r="M2774" s="1" t="s">
        <v>10</v>
      </c>
    </row>
    <row r="2775" spans="1:136" ht="14.25" customHeight="1" x14ac:dyDescent="0.3">
      <c r="A2775" s="1" t="s">
        <v>2916</v>
      </c>
      <c r="B2775" s="1" t="str">
        <f ca="1">IFERROR(__xludf.DUMMYFUNCTION("GOOGLETRANSLATE(A2775, ""en"", ""fr"")"),"Risque de liquidité")</f>
        <v>Risque de liquidité</v>
      </c>
      <c r="CR2775" s="1" t="s">
        <v>93</v>
      </c>
      <c r="EF2775" s="1" t="s">
        <v>133</v>
      </c>
    </row>
    <row r="2776" spans="1:136" ht="14.25" customHeight="1" x14ac:dyDescent="0.3">
      <c r="A2776" s="1" t="s">
        <v>2917</v>
      </c>
      <c r="B2776" s="1" t="str">
        <f ca="1">IFERROR(__xludf.DUMMYFUNCTION("GOOGLETRANSLATE(A2776, ""en"", ""fr"")"),"PLAIDEUR")</f>
        <v>PLAIDEUR</v>
      </c>
      <c r="D2776" s="1" t="s">
        <v>4963</v>
      </c>
    </row>
    <row r="2777" spans="1:136" ht="14.25" customHeight="1" x14ac:dyDescent="0.3">
      <c r="A2777" s="1" t="s">
        <v>2918</v>
      </c>
      <c r="B2777" s="1" t="str">
        <f ca="1">IFERROR(__xludf.DUMMYFUNCTION("GOOGLETRANSLATE(A2777, ""en"", ""fr"")"),"Plaideurs")</f>
        <v>Plaideurs</v>
      </c>
      <c r="D2777" s="1" t="s">
        <v>4963</v>
      </c>
    </row>
    <row r="2778" spans="1:136" ht="14.25" customHeight="1" x14ac:dyDescent="0.3">
      <c r="A2778" s="1" t="s">
        <v>2919</v>
      </c>
      <c r="B2778" s="1" t="str">
        <f ca="1">IFERROR(__xludf.DUMMYFUNCTION("GOOGLETRANSLATE(A2778, ""en"", ""fr"")"),"PLAIDER")</f>
        <v>PLAIDER</v>
      </c>
      <c r="D2778" s="1" t="s">
        <v>4963</v>
      </c>
    </row>
    <row r="2779" spans="1:136" ht="14.25" customHeight="1" x14ac:dyDescent="0.3">
      <c r="A2779" s="1" t="s">
        <v>2920</v>
      </c>
      <c r="B2779" s="1" t="str">
        <f ca="1">IFERROR(__xludf.DUMMYFUNCTION("GOOGLETRANSLATE(A2779, ""en"", ""fr"")"),"Plaidé")</f>
        <v>Plaidé</v>
      </c>
      <c r="D2779" s="1" t="s">
        <v>4963</v>
      </c>
    </row>
    <row r="2780" spans="1:136" ht="14.25" customHeight="1" x14ac:dyDescent="0.3">
      <c r="A2780" s="1" t="s">
        <v>2921</v>
      </c>
      <c r="B2780" s="1" t="str">
        <f ca="1">IFERROR(__xludf.DUMMYFUNCTION("GOOGLETRANSLATE(A2780, ""en"", ""fr"")"),"Litige")</f>
        <v>Litige</v>
      </c>
      <c r="D2780" s="1" t="s">
        <v>4963</v>
      </c>
    </row>
    <row r="2781" spans="1:136" ht="14.25" customHeight="1" x14ac:dyDescent="0.3">
      <c r="A2781" s="1" t="s">
        <v>2922</v>
      </c>
      <c r="B2781" s="1" t="str">
        <f ca="1">IFERROR(__xludf.DUMMYFUNCTION("GOOGLETRANSLATE(A2781, ""en"", ""fr"")"),"Litige")</f>
        <v>Litige</v>
      </c>
      <c r="D2781" s="1" t="s">
        <v>4963</v>
      </c>
    </row>
    <row r="2782" spans="1:136" ht="14.25" customHeight="1" x14ac:dyDescent="0.3">
      <c r="A2782" s="1" t="s">
        <v>2923</v>
      </c>
      <c r="B2782" s="1" t="str">
        <f ca="1">IFERROR(__xludf.DUMMYFUNCTION("GOOGLETRANSLATE(A2782, ""en"", ""fr"")"),"LITIGE")</f>
        <v>LITIGE</v>
      </c>
      <c r="D2782" s="1" t="s">
        <v>4963</v>
      </c>
    </row>
    <row r="2783" spans="1:136" ht="14.25" customHeight="1" x14ac:dyDescent="0.3">
      <c r="A2783" s="1" t="s">
        <v>2924</v>
      </c>
      <c r="B2783" s="1" t="str">
        <f ca="1">IFERROR(__xludf.DUMMYFUNCTION("GOOGLETRANSLATE(A2783, ""en"", ""fr"")"),"Litiges")</f>
        <v>Litiges</v>
      </c>
      <c r="D2783" s="1" t="s">
        <v>4963</v>
      </c>
    </row>
    <row r="2784" spans="1:136" ht="14.25" customHeight="1" x14ac:dyDescent="0.3">
      <c r="A2784" s="1" t="s">
        <v>2925</v>
      </c>
      <c r="B2784" s="1" t="str">
        <f ca="1">IFERROR(__xludf.DUMMYFUNCTION("GOOGLETRANSLATE(A2784, ""en"", ""fr"")"),"petits dragons")</f>
        <v>petits dragons</v>
      </c>
      <c r="M2784" s="1" t="s">
        <v>10</v>
      </c>
    </row>
    <row r="2785" spans="1:97" ht="14.25" customHeight="1" x14ac:dyDescent="0.3">
      <c r="A2785" s="1" t="s">
        <v>2926</v>
      </c>
      <c r="B2785" s="1" t="str">
        <f ca="1">IFERROR(__xludf.DUMMYFUNCTION("GOOGLETRANSLATE(A2785, ""en"", ""fr"")"),"Liuhua")</f>
        <v>Liuhua</v>
      </c>
      <c r="R2785" s="1" t="s">
        <v>15</v>
      </c>
      <c r="CS2785" s="1" t="s">
        <v>94</v>
      </c>
    </row>
    <row r="2786" spans="1:97" ht="14.25" customHeight="1" x14ac:dyDescent="0.3">
      <c r="A2786" s="1" t="s">
        <v>2927</v>
      </c>
      <c r="B2786" s="1" t="str">
        <f ca="1">IFERROR(__xludf.DUMMYFUNCTION("GOOGLETRANSLATE(A2786, ""en"", ""fr"")"),"Baie de Liverpool")</f>
        <v>Baie de Liverpool</v>
      </c>
      <c r="R2786" s="1" t="s">
        <v>15</v>
      </c>
      <c r="CS2786" s="1" t="s">
        <v>94</v>
      </c>
    </row>
    <row r="2787" spans="1:97" ht="14.25" customHeight="1" x14ac:dyDescent="0.3">
      <c r="A2787" s="1" t="s">
        <v>2928</v>
      </c>
      <c r="B2787" s="1" t="str">
        <f ca="1">IFERROR(__xludf.DUMMYFUNCTION("GOOGLETRANSLATE(A2787, ""en"", ""fr"")"),"Mélange lloyd")</f>
        <v>Mélange lloyd</v>
      </c>
      <c r="R2787" s="1" t="s">
        <v>15</v>
      </c>
      <c r="CS2787" s="1" t="s">
        <v>94</v>
      </c>
    </row>
    <row r="2788" spans="1:97" ht="14.25" customHeight="1" x14ac:dyDescent="0.3">
      <c r="A2788" s="1" t="s">
        <v>2929</v>
      </c>
      <c r="B2788" s="1" t="str">
        <f ca="1">IFERROR(__xludf.DUMMYFUNCTION("GOOGLETRANSLATE(A2788, ""en"", ""fr"")"),"GNL")</f>
        <v>GNL</v>
      </c>
      <c r="R2788" s="1" t="s">
        <v>15</v>
      </c>
    </row>
    <row r="2789" spans="1:97" ht="14.25" customHeight="1" x14ac:dyDescent="0.3">
      <c r="A2789" s="1" t="s">
        <v>2930</v>
      </c>
      <c r="B2789" s="1" t="str">
        <f ca="1">IFERROR(__xludf.DUMMYFUNCTION("GOOGLETRANSLATE(A2789, ""en"", ""fr"")"),"Lock-out")</f>
        <v>Lock-out</v>
      </c>
      <c r="D2789" s="1" t="s">
        <v>4963</v>
      </c>
    </row>
    <row r="2790" spans="1:97" ht="14.25" customHeight="1" x14ac:dyDescent="0.3">
      <c r="A2790" s="1" t="s">
        <v>2931</v>
      </c>
      <c r="B2790" s="1" t="str">
        <f ca="1">IFERROR(__xludf.DUMMYFUNCTION("GOOGLETRANSLATE(A2790, ""en"", ""fr"")"),"Lock-out")</f>
        <v>Lock-out</v>
      </c>
      <c r="D2790" s="1" t="s">
        <v>4963</v>
      </c>
    </row>
    <row r="2791" spans="1:97" ht="14.25" customHeight="1" x14ac:dyDescent="0.3">
      <c r="A2791" s="1" t="s">
        <v>2932</v>
      </c>
      <c r="B2791" s="1" t="str">
        <f ca="1">IFERROR(__xludf.DUMMYFUNCTION("GOOGLETRANSLATE(A2791, ""en"", ""fr"")"),"London Interbank Office Rate")</f>
        <v>London Interbank Office Rate</v>
      </c>
      <c r="CR2791" s="1" t="s">
        <v>93</v>
      </c>
    </row>
    <row r="2792" spans="1:97" ht="14.25" customHeight="1" x14ac:dyDescent="0.3">
      <c r="A2792" s="1" t="s">
        <v>2933</v>
      </c>
      <c r="B2792" s="1" t="str">
        <f ca="1">IFERROR(__xludf.DUMMYFUNCTION("GOOGLETRANSLATE(A2792, ""en"", ""fr"")"),"actif à long terme")</f>
        <v>actif à long terme</v>
      </c>
      <c r="CR2792" s="1" t="s">
        <v>93</v>
      </c>
    </row>
    <row r="2793" spans="1:97" ht="14.25" customHeight="1" x14ac:dyDescent="0.3">
      <c r="A2793" s="1" t="s">
        <v>2934</v>
      </c>
      <c r="B2793" s="1" t="str">
        <f ca="1">IFERROR(__xludf.DUMMYFUNCTION("GOOGLETRANSLATE(A2793, ""en"", ""fr"")"),"emprunt à long terme")</f>
        <v>emprunt à long terme</v>
      </c>
      <c r="CR2793" s="1" t="s">
        <v>93</v>
      </c>
    </row>
    <row r="2794" spans="1:97" ht="14.25" customHeight="1" x14ac:dyDescent="0.3">
      <c r="A2794" s="1" t="s">
        <v>2935</v>
      </c>
      <c r="B2794" s="1" t="str">
        <f ca="1">IFERROR(__xludf.DUMMYFUNCTION("GOOGLETRANSLATE(A2794, ""en"", ""fr"")"),"option de recherche")</f>
        <v>option de recherche</v>
      </c>
      <c r="Q2794" s="1" t="s">
        <v>14</v>
      </c>
    </row>
    <row r="2795" spans="1:97" ht="14.25" customHeight="1" x14ac:dyDescent="0.3">
      <c r="A2795" s="1" t="s">
        <v>2936</v>
      </c>
      <c r="B2795" s="1" t="str">
        <f ca="1">IFERROR(__xludf.DUMMYFUNCTION("GOOGLETRANSLATE(A2795, ""en"", ""fr"")"),"crédit en liberté")</f>
        <v>crédit en liberté</v>
      </c>
      <c r="M2795" s="1" t="s">
        <v>10</v>
      </c>
    </row>
    <row r="2796" spans="1:97" ht="14.25" customHeight="1" x14ac:dyDescent="0.3">
      <c r="A2796" s="1" t="s">
        <v>2937</v>
      </c>
      <c r="B2796" s="1" t="str">
        <f ca="1">IFERROR(__xludf.DUMMYFUNCTION("GOOGLETRANSLATE(A2796, ""en"", ""fr"")"),"courbe de Lorenz")</f>
        <v>courbe de Lorenz</v>
      </c>
      <c r="M2796" s="1" t="s">
        <v>10</v>
      </c>
    </row>
    <row r="2797" spans="1:97" ht="14.25" customHeight="1" x14ac:dyDescent="0.3">
      <c r="A2797" s="1" t="s">
        <v>2938</v>
      </c>
      <c r="B2797" s="1" t="str">
        <f ca="1">IFERROR(__xludf.DUMMYFUNCTION("GOOGLETRANSLATE(A2797, ""en"", ""fr"")"),"PERDRE")</f>
        <v>PERDRE</v>
      </c>
      <c r="D2797" s="1" t="s">
        <v>4963</v>
      </c>
    </row>
    <row r="2798" spans="1:97" ht="14.25" customHeight="1" x14ac:dyDescent="0.3">
      <c r="A2798" s="1" t="s">
        <v>2939</v>
      </c>
      <c r="B2798" s="1" t="str">
        <f ca="1">IFERROR(__xludf.DUMMYFUNCTION("GOOGLETRANSLATE(A2798, ""en"", ""fr"")"),"Perdus")</f>
        <v>Perdus</v>
      </c>
      <c r="D2798" s="1" t="s">
        <v>4963</v>
      </c>
    </row>
    <row r="2799" spans="1:97" ht="14.25" customHeight="1" x14ac:dyDescent="0.3">
      <c r="A2799" s="1" t="s">
        <v>2940</v>
      </c>
      <c r="B2799" s="1" t="str">
        <f ca="1">IFERROR(__xludf.DUMMYFUNCTION("GOOGLETRANSLATE(A2799, ""en"", ""fr"")"),"PERDANT")</f>
        <v>PERDANT</v>
      </c>
      <c r="D2799" s="1" t="s">
        <v>4963</v>
      </c>
    </row>
    <row r="2800" spans="1:97" ht="14.25" customHeight="1" x14ac:dyDescent="0.3">
      <c r="A2800" s="1" t="s">
        <v>2941</v>
      </c>
      <c r="B2800" s="1" t="str">
        <f ca="1">IFERROR(__xludf.DUMMYFUNCTION("GOOGLETRANSLATE(A2800, ""en"", ""fr"")"),"PERTE")</f>
        <v>PERTE</v>
      </c>
      <c r="D2800" s="1" t="s">
        <v>4963</v>
      </c>
    </row>
    <row r="2801" spans="1:108" ht="14.25" customHeight="1" x14ac:dyDescent="0.3">
      <c r="A2801" s="1" t="s">
        <v>2942</v>
      </c>
      <c r="B2801" s="1" t="str">
        <f ca="1">IFERROR(__xludf.DUMMYFUNCTION("GOOGLETRANSLATE(A2801, ""en"", ""fr"")"),"PERTES")</f>
        <v>PERTES</v>
      </c>
      <c r="D2801" s="1" t="s">
        <v>4963</v>
      </c>
    </row>
    <row r="2802" spans="1:108" ht="14.25" customHeight="1" x14ac:dyDescent="0.3">
      <c r="A2802" s="1" t="s">
        <v>2943</v>
      </c>
      <c r="B2802" s="1" t="str">
        <f ca="1">IFERROR(__xludf.DUMMYFUNCTION("GOOGLETRANSLATE(A2802, ""en"", ""fr"")"),"PERDU")</f>
        <v>PERDU</v>
      </c>
      <c r="D2802" s="1" t="s">
        <v>4963</v>
      </c>
    </row>
    <row r="2803" spans="1:108" ht="14.25" customHeight="1" x14ac:dyDescent="0.3">
      <c r="A2803" s="1" t="s">
        <v>2944</v>
      </c>
      <c r="B2803" s="1" t="str">
        <f ca="1">IFERROR(__xludf.DUMMYFUNCTION("GOOGLETRANSLATE(A2803, ""en"", ""fr"")"),"Louvre Accord")</f>
        <v>Louvre Accord</v>
      </c>
      <c r="M2803" s="1" t="s">
        <v>10</v>
      </c>
    </row>
    <row r="2804" spans="1:108" ht="14.25" customHeight="1" x14ac:dyDescent="0.3">
      <c r="A2804" s="1" t="s">
        <v>2945</v>
      </c>
      <c r="B2804" s="1" t="str">
        <f ca="1">IFERROR(__xludf.DUMMYFUNCTION("GOOGLETRANSLATE(A2804, ""en"", ""fr"")"),"Lower Zakum")</f>
        <v>Lower Zakum</v>
      </c>
      <c r="R2804" s="1" t="s">
        <v>15</v>
      </c>
      <c r="CS2804" s="1" t="s">
        <v>94</v>
      </c>
    </row>
    <row r="2805" spans="1:108" ht="14.25" customHeight="1" x14ac:dyDescent="0.3">
      <c r="A2805" s="1" t="s">
        <v>2946</v>
      </c>
      <c r="B2805" s="1" t="str">
        <f ca="1">IFERROR(__xludf.DUMMYFUNCTION("GOOGLETRANSLATE(A2805, ""en"", ""fr"")"),"LOYAL")</f>
        <v>LOYAL</v>
      </c>
      <c r="H2805" s="1" t="s">
        <v>4964</v>
      </c>
    </row>
    <row r="2806" spans="1:108" ht="14.25" customHeight="1" x14ac:dyDescent="0.3">
      <c r="A2806" s="1" t="s">
        <v>2947</v>
      </c>
      <c r="B2806" s="1" t="str">
        <f ca="1">IFERROR(__xludf.DUMMYFUNCTION("GOOGLETRANSLATE(A2806, ""en"", ""fr"")"),"GPL")</f>
        <v>GPL</v>
      </c>
      <c r="R2806" s="1" t="s">
        <v>15</v>
      </c>
    </row>
    <row r="2807" spans="1:108" ht="14.25" customHeight="1" x14ac:dyDescent="0.3">
      <c r="A2807" s="1" t="s">
        <v>2948</v>
      </c>
      <c r="B2807" s="1" t="str">
        <f ca="1">IFERROR(__xludf.DUMMYFUNCTION("GOOGLETRANSLATE(A2807, ""en"", ""fr"")"),"Lubrification")</f>
        <v>Lubrification</v>
      </c>
      <c r="E2807" s="1" t="s">
        <v>3</v>
      </c>
    </row>
    <row r="2808" spans="1:108" ht="14.25" customHeight="1" x14ac:dyDescent="0.3">
      <c r="A2808" s="1" t="s">
        <v>2949</v>
      </c>
      <c r="B2808" s="1" t="str">
        <f ca="1">IFERROR(__xludf.DUMMYFUNCTION("GOOGLETRANSLATE(A2808, ""en"", ""fr"")"),"LUCRATIF")</f>
        <v>LUCRATIF</v>
      </c>
      <c r="H2808" s="1" t="s">
        <v>4964</v>
      </c>
    </row>
    <row r="2809" spans="1:108" ht="14.25" customHeight="1" x14ac:dyDescent="0.3">
      <c r="A2809" s="1" t="s">
        <v>2950</v>
      </c>
      <c r="B2809" s="1" t="str">
        <f ca="1">IFERROR(__xludf.DUMMYFUNCTION("GOOGLETRANSLATE(A2809, ""en"", ""fr"")"),"Lufeng")</f>
        <v>Lufeng</v>
      </c>
      <c r="R2809" s="1" t="s">
        <v>15</v>
      </c>
      <c r="CS2809" s="1" t="s">
        <v>94</v>
      </c>
    </row>
    <row r="2810" spans="1:108" ht="14.25" customHeight="1" x14ac:dyDescent="0.3">
      <c r="A2810" s="1" t="s">
        <v>2951</v>
      </c>
      <c r="B2810" s="1" t="str">
        <f ca="1">IFERROR(__xludf.DUMMYFUNCTION("GOOGLETRANSLATE(A2810, ""en"", ""fr"")"),"Lyantorskoye")</f>
        <v>Lyantorskoye</v>
      </c>
      <c r="AK2810" s="1" t="s">
        <v>34</v>
      </c>
      <c r="BH2810" s="1" t="s">
        <v>57</v>
      </c>
      <c r="BW2810" s="1" t="s">
        <v>72</v>
      </c>
      <c r="DD2810" s="1" t="s">
        <v>105</v>
      </c>
    </row>
    <row r="2811" spans="1:108" ht="14.25" customHeight="1" x14ac:dyDescent="0.3">
      <c r="A2811" s="1" t="s">
        <v>2952</v>
      </c>
      <c r="B2811" s="1" t="str">
        <f ca="1">IFERROR(__xludf.DUMMYFUNCTION("GOOGLETRANSLATE(A2811, ""en"", ""fr"")"),"COUCHÉ")</f>
        <v>COUCHÉ</v>
      </c>
      <c r="D2811" s="1" t="s">
        <v>4963</v>
      </c>
    </row>
    <row r="2812" spans="1:108" ht="14.25" customHeight="1" x14ac:dyDescent="0.3">
      <c r="A2812" s="1" t="s">
        <v>2953</v>
      </c>
      <c r="B2812" s="1" t="str">
        <f ca="1">IFERROR(__xludf.DUMMYFUNCTION("GOOGLETRANSLATE(A2812, ""en"", ""fr"")"),"M0")</f>
        <v>M0</v>
      </c>
      <c r="M2812" s="1" t="s">
        <v>10</v>
      </c>
    </row>
    <row r="2813" spans="1:108" ht="14.25" customHeight="1" x14ac:dyDescent="0.3">
      <c r="A2813" s="1" t="s">
        <v>2954</v>
      </c>
      <c r="B2813" s="1" t="str">
        <f ca="1">IFERROR(__xludf.DUMMYFUNCTION("GOOGLETRANSLATE(A2813, ""en"", ""fr"")"),"M1")</f>
        <v>M1</v>
      </c>
      <c r="M2813" s="1" t="s">
        <v>10</v>
      </c>
    </row>
    <row r="2814" spans="1:108" ht="14.25" customHeight="1" x14ac:dyDescent="0.3">
      <c r="A2814" s="1" t="s">
        <v>2955</v>
      </c>
      <c r="B2814" s="1" t="str">
        <f ca="1">IFERROR(__xludf.DUMMYFUNCTION("GOOGLETRANSLATE(A2814, ""en"", ""fr"")"),"M2")</f>
        <v>M2</v>
      </c>
      <c r="M2814" s="1" t="s">
        <v>10</v>
      </c>
    </row>
    <row r="2815" spans="1:108" ht="14.25" customHeight="1" x14ac:dyDescent="0.3">
      <c r="A2815" s="1" t="s">
        <v>2956</v>
      </c>
      <c r="B2815" s="1" t="str">
        <f ca="1">IFERROR(__xludf.DUMMYFUNCTION("GOOGLETRANSLATE(A2815, ""en"", ""fr"")"),"M3")</f>
        <v>M3</v>
      </c>
      <c r="M2815" s="1" t="s">
        <v>10</v>
      </c>
    </row>
    <row r="2816" spans="1:108" ht="14.25" customHeight="1" x14ac:dyDescent="0.3">
      <c r="A2816" s="1" t="s">
        <v>2957</v>
      </c>
      <c r="B2816" s="1" t="str">
        <f ca="1">IFERROR(__xludf.DUMMYFUNCTION("GOOGLETRANSLATE(A2816, ""en"", ""fr"")"),"Macculloch")</f>
        <v>Macculloch</v>
      </c>
      <c r="R2816" s="1" t="s">
        <v>15</v>
      </c>
      <c r="CS2816" s="1" t="s">
        <v>94</v>
      </c>
    </row>
    <row r="2817" spans="1:136" ht="14.25" customHeight="1" x14ac:dyDescent="0.3">
      <c r="A2817" s="1" t="s">
        <v>2958</v>
      </c>
      <c r="B2817" s="1" t="str">
        <f ca="1">IFERROR(__xludf.DUMMYFUNCTION("GOOGLETRANSLATE(A2817, ""en"", ""fr"")"),"risque macroélectrique")</f>
        <v>risque macroélectrique</v>
      </c>
      <c r="M2817" s="1" t="s">
        <v>10</v>
      </c>
      <c r="EF2817" s="1" t="s">
        <v>133</v>
      </c>
    </row>
    <row r="2818" spans="1:136" ht="14.25" customHeight="1" x14ac:dyDescent="0.3">
      <c r="A2818" s="1" t="s">
        <v>2959</v>
      </c>
      <c r="B2818" s="1" t="str">
        <f ca="1">IFERROR(__xludf.DUMMYFUNCTION("GOOGLETRANSLATE(A2818, ""en"", ""fr"")"),"macroéconomie")</f>
        <v>macroéconomie</v>
      </c>
      <c r="M2818" s="1" t="s">
        <v>10</v>
      </c>
    </row>
    <row r="2819" spans="1:136" ht="14.25" customHeight="1" x14ac:dyDescent="0.3">
      <c r="A2819" s="1" t="s">
        <v>2960</v>
      </c>
      <c r="B2819" s="1" t="str">
        <f ca="1">IFERROR(__xludf.DUMMYFUNCTION("GOOGLETRANSLATE(A2819, ""en"", ""fr"")"),"raffinerie de Mailiao")</f>
        <v>raffinerie de Mailiao</v>
      </c>
      <c r="AG2819" s="1" t="s">
        <v>30</v>
      </c>
      <c r="BF2819" s="1" t="s">
        <v>55</v>
      </c>
      <c r="BU2819" s="1" t="s">
        <v>70</v>
      </c>
      <c r="CL2819" s="1" t="s">
        <v>87</v>
      </c>
      <c r="EB2819" s="1" t="s">
        <v>129</v>
      </c>
    </row>
    <row r="2820" spans="1:136" ht="14.25" customHeight="1" x14ac:dyDescent="0.3">
      <c r="A2820" s="1" t="s">
        <v>2961</v>
      </c>
      <c r="B2820" s="1" t="str">
        <f ca="1">IFERROR(__xludf.DUMMYFUNCTION("GOOGLETRANSLATE(A2820, ""en"", ""fr"")"),"majon")</f>
        <v>majon</v>
      </c>
      <c r="AU2820" s="1" t="s">
        <v>44</v>
      </c>
      <c r="BE2820" s="1" t="s">
        <v>54</v>
      </c>
      <c r="BS2820" s="1" t="s">
        <v>68</v>
      </c>
      <c r="DD2820" s="1" t="s">
        <v>105</v>
      </c>
    </row>
    <row r="2821" spans="1:136" ht="14.25" customHeight="1" x14ac:dyDescent="0.3">
      <c r="A2821" s="1" t="s">
        <v>2962</v>
      </c>
      <c r="B2821" s="1" t="str">
        <f ca="1">IFERROR(__xludf.DUMMYFUNCTION("GOOGLETRANSLATE(A2821, ""en"", ""fr"")"),"monnaie majeure")</f>
        <v>monnaie majeure</v>
      </c>
      <c r="M2821" s="1" t="s">
        <v>10</v>
      </c>
    </row>
    <row r="2822" spans="1:136" ht="14.25" customHeight="1" x14ac:dyDescent="0.3">
      <c r="A2822" s="1" t="s">
        <v>2963</v>
      </c>
      <c r="B2822" s="1" t="str">
        <f ca="1">IFERROR(__xludf.DUMMYFUNCTION("GOOGLETRANSLATE(A2822, ""en"", ""fr"")"),"MALVERSATION")</f>
        <v>MALVERSATION</v>
      </c>
      <c r="D2822" s="1" t="s">
        <v>4963</v>
      </c>
    </row>
    <row r="2823" spans="1:136" ht="14.25" customHeight="1" x14ac:dyDescent="0.3">
      <c r="A2823" s="1" t="s">
        <v>2964</v>
      </c>
      <c r="B2823" s="1" t="str">
        <f ca="1">IFERROR(__xludf.DUMMYFUNCTION("GOOGLETRANSLATE(A2823, ""en"", ""fr"")"),"MAUVAIS FONCTIONNEMENT")</f>
        <v>MAUVAIS FONCTIONNEMENT</v>
      </c>
      <c r="D2823" s="1" t="s">
        <v>4963</v>
      </c>
    </row>
    <row r="2824" spans="1:136" ht="14.25" customHeight="1" x14ac:dyDescent="0.3">
      <c r="A2824" s="1" t="s">
        <v>2965</v>
      </c>
      <c r="B2824" s="1" t="str">
        <f ca="1">IFERROR(__xludf.DUMMYFUNCTION("GOOGLETRANSLATE(A2824, ""en"", ""fr"")"),"Défectueux")</f>
        <v>Défectueux</v>
      </c>
      <c r="D2824" s="1" t="s">
        <v>4963</v>
      </c>
    </row>
    <row r="2825" spans="1:136" ht="14.25" customHeight="1" x14ac:dyDescent="0.3">
      <c r="A2825" s="1" t="s">
        <v>2966</v>
      </c>
      <c r="B2825" s="1" t="str">
        <f ca="1">IFERROR(__xludf.DUMMYFUNCTION("GOOGLETRANSLATE(A2825, ""en"", ""fr"")"),"Défaut")</f>
        <v>Défaut</v>
      </c>
      <c r="D2825" s="1" t="s">
        <v>4963</v>
      </c>
    </row>
    <row r="2826" spans="1:136" ht="14.25" customHeight="1" x14ac:dyDescent="0.3">
      <c r="A2826" s="1" t="s">
        <v>2967</v>
      </c>
      <c r="B2826" s="1" t="str">
        <f ca="1">IFERROR(__xludf.DUMMYFUNCTION("GOOGLETRANSLATE(A2826, ""en"", ""fr"")"),"Dysfonctionnement")</f>
        <v>Dysfonctionnement</v>
      </c>
      <c r="D2826" s="1" t="s">
        <v>4963</v>
      </c>
    </row>
    <row r="2827" spans="1:136" ht="14.25" customHeight="1" x14ac:dyDescent="0.3">
      <c r="A2827" s="1" t="s">
        <v>2968</v>
      </c>
      <c r="B2827" s="1" t="str">
        <f ca="1">IFERROR(__xludf.DUMMYFUNCTION("GOOGLETRANSLATE(A2827, ""en"", ""fr"")"),"MALICE")</f>
        <v>MALICE</v>
      </c>
      <c r="D2827" s="1" t="s">
        <v>4963</v>
      </c>
    </row>
    <row r="2828" spans="1:136" ht="14.25" customHeight="1" x14ac:dyDescent="0.3">
      <c r="A2828" s="1" t="s">
        <v>2969</v>
      </c>
      <c r="B2828" s="1" t="str">
        <f ca="1">IFERROR(__xludf.DUMMYFUNCTION("GOOGLETRANSLATE(A2828, ""en"", ""fr"")"),"MAL INTENTIONNÉ")</f>
        <v>MAL INTENTIONNÉ</v>
      </c>
      <c r="D2828" s="1" t="s">
        <v>4963</v>
      </c>
    </row>
    <row r="2829" spans="1:136" ht="14.25" customHeight="1" x14ac:dyDescent="0.3">
      <c r="A2829" s="1" t="s">
        <v>2970</v>
      </c>
      <c r="B2829" s="1" t="str">
        <f ca="1">IFERROR(__xludf.DUMMYFUNCTION("GOOGLETRANSLATE(A2829, ""en"", ""fr"")"),"Malicieusement")</f>
        <v>Malicieusement</v>
      </c>
      <c r="D2829" s="1" t="s">
        <v>4963</v>
      </c>
    </row>
    <row r="2830" spans="1:136" ht="14.25" customHeight="1" x14ac:dyDescent="0.3">
      <c r="A2830" s="1" t="s">
        <v>2971</v>
      </c>
      <c r="B2830" s="1" t="str">
        <f ca="1">IFERROR(__xludf.DUMMYFUNCTION("GOOGLETRANSLATE(A2830, ""en"", ""fr"")"),"FAUTE PROFESSIONNELLE")</f>
        <v>FAUTE PROFESSIONNELLE</v>
      </c>
      <c r="D2830" s="1" t="s">
        <v>4963</v>
      </c>
    </row>
    <row r="2831" spans="1:136" ht="14.25" customHeight="1" x14ac:dyDescent="0.3">
      <c r="A2831" s="1" t="s">
        <v>2972</v>
      </c>
      <c r="B2831" s="1" t="str">
        <f ca="1">IFERROR(__xludf.DUMMYFUNCTION("GOOGLETRANSLATE(A2831, ""en"", ""fr"")"),"mamontovskoye")</f>
        <v>mamontovskoye</v>
      </c>
      <c r="AK2831" s="1" t="s">
        <v>34</v>
      </c>
      <c r="BH2831" s="1" t="s">
        <v>57</v>
      </c>
      <c r="BW2831" s="1" t="s">
        <v>72</v>
      </c>
      <c r="DD2831" s="1" t="s">
        <v>105</v>
      </c>
    </row>
    <row r="2832" spans="1:136" ht="14.25" customHeight="1" x14ac:dyDescent="0.3">
      <c r="A2832" s="1" t="s">
        <v>2973</v>
      </c>
      <c r="B2832" s="1" t="str">
        <f ca="1">IFERROR(__xludf.DUMMYFUNCTION("GOOGLETRANSLATE(A2832, ""en"", ""fr"")"),"économie gérée")</f>
        <v>économie gérée</v>
      </c>
      <c r="M2832" s="1" t="s">
        <v>10</v>
      </c>
    </row>
    <row r="2833" spans="1:132" ht="14.25" customHeight="1" x14ac:dyDescent="0.3">
      <c r="A2833" s="1" t="s">
        <v>2974</v>
      </c>
      <c r="B2833" s="1" t="str">
        <f ca="1">IFERROR(__xludf.DUMMYFUNCTION("GOOGLETRANSLATE(A2833, ""en"", ""fr"")"),"Objectifs de gestion")</f>
        <v>Objectifs de gestion</v>
      </c>
      <c r="CR2833" s="1" t="s">
        <v>93</v>
      </c>
    </row>
    <row r="2834" spans="1:132" ht="14.25" customHeight="1" x14ac:dyDescent="0.3">
      <c r="A2834" s="1" t="s">
        <v>2975</v>
      </c>
      <c r="B2834" s="1" t="str">
        <f ca="1">IFERROR(__xludf.DUMMYFUNCTION("GOOGLETRANSLATE(A2834, ""en"", ""fr"")"),"Mandji")</f>
        <v>Mandji</v>
      </c>
      <c r="R2834" s="1" t="s">
        <v>15</v>
      </c>
      <c r="CS2834" s="1" t="s">
        <v>94</v>
      </c>
    </row>
    <row r="2835" spans="1:132" ht="14.25" customHeight="1" x14ac:dyDescent="0.3">
      <c r="A2835" s="1" t="s">
        <v>2976</v>
      </c>
      <c r="B2835" s="1" t="str">
        <f ca="1">IFERROR(__xludf.DUMMYFUNCTION("GOOGLETRANSLATE(A2835, ""en"", ""fr"")"),"mangalaarea")</f>
        <v>mangalaarea</v>
      </c>
      <c r="P2835" s="1" t="s">
        <v>13</v>
      </c>
      <c r="BW2835" s="1" t="s">
        <v>72</v>
      </c>
      <c r="DD2835" s="1" t="s">
        <v>105</v>
      </c>
    </row>
    <row r="2836" spans="1:132" ht="14.25" customHeight="1" x14ac:dyDescent="0.3">
      <c r="A2836" s="1" t="s">
        <v>2977</v>
      </c>
      <c r="B2836" s="1" t="str">
        <f ca="1">IFERROR(__xludf.DUMMYFUNCTION("GOOGLETRANSLATE(A2836, ""en"", ""fr"")"),"manifater")</f>
        <v>manifater</v>
      </c>
      <c r="AN2836" s="1" t="s">
        <v>37</v>
      </c>
      <c r="AU2836" s="1" t="s">
        <v>44</v>
      </c>
      <c r="BS2836" s="1" t="s">
        <v>68</v>
      </c>
      <c r="DD2836" s="1" t="s">
        <v>105</v>
      </c>
    </row>
    <row r="2837" spans="1:132" ht="14.25" customHeight="1" x14ac:dyDescent="0.3">
      <c r="A2837" s="1" t="s">
        <v>2978</v>
      </c>
      <c r="B2837" s="1" t="str">
        <f ca="1">IFERROR(__xludf.DUMMYFUNCTION("GOOGLETRANSLATE(A2837, ""en"", ""fr"")"),"MANIPULER")</f>
        <v>MANIPULER</v>
      </c>
      <c r="D2837" s="1" t="s">
        <v>4963</v>
      </c>
    </row>
    <row r="2838" spans="1:132" ht="14.25" customHeight="1" x14ac:dyDescent="0.3">
      <c r="A2838" s="1" t="s">
        <v>2979</v>
      </c>
      <c r="B2838" s="1" t="str">
        <f ca="1">IFERROR(__xludf.DUMMYFUNCTION("GOOGLETRANSLATE(A2838, ""en"", ""fr"")"),"Manipulé")</f>
        <v>Manipulé</v>
      </c>
      <c r="D2838" s="1" t="s">
        <v>4963</v>
      </c>
    </row>
    <row r="2839" spans="1:132" ht="14.25" customHeight="1" x14ac:dyDescent="0.3">
      <c r="A2839" s="1" t="s">
        <v>2980</v>
      </c>
      <c r="B2839" s="1" t="str">
        <f ca="1">IFERROR(__xludf.DUMMYFUNCTION("GOOGLETRANSLATE(A2839, ""en"", ""fr"")"),"Manipuler")</f>
        <v>Manipuler</v>
      </c>
      <c r="D2839" s="1" t="s">
        <v>4963</v>
      </c>
    </row>
    <row r="2840" spans="1:132" ht="14.25" customHeight="1" x14ac:dyDescent="0.3">
      <c r="A2840" s="1" t="s">
        <v>2981</v>
      </c>
      <c r="B2840" s="1" t="str">
        <f ca="1">IFERROR(__xludf.DUMMYFUNCTION("GOOGLETRANSLATE(A2840, ""en"", ""fr"")"),"Manipulant")</f>
        <v>Manipulant</v>
      </c>
      <c r="D2840" s="1" t="s">
        <v>4963</v>
      </c>
    </row>
    <row r="2841" spans="1:132" ht="14.25" customHeight="1" x14ac:dyDescent="0.3">
      <c r="A2841" s="1" t="s">
        <v>2982</v>
      </c>
      <c r="B2841" s="1" t="str">
        <f ca="1">IFERROR(__xludf.DUMMYFUNCTION("GOOGLETRANSLATE(A2841, ""en"", ""fr"")"),"MANIPULATION")</f>
        <v>MANIPULATION</v>
      </c>
      <c r="D2841" s="1" t="s">
        <v>4963</v>
      </c>
    </row>
    <row r="2842" spans="1:132" ht="14.25" customHeight="1" x14ac:dyDescent="0.3">
      <c r="A2842" s="1" t="s">
        <v>2983</v>
      </c>
      <c r="B2842" s="1" t="str">
        <f ca="1">IFERROR(__xludf.DUMMYFUNCTION("GOOGLETRANSLATE(A2842, ""en"", ""fr"")"),"MANIPULATIONS")</f>
        <v>MANIPULATIONS</v>
      </c>
      <c r="D2842" s="1" t="s">
        <v>4963</v>
      </c>
    </row>
    <row r="2843" spans="1:132" ht="14.25" customHeight="1" x14ac:dyDescent="0.3">
      <c r="A2843" s="1" t="s">
        <v>2984</v>
      </c>
      <c r="B2843" s="1" t="str">
        <f ca="1">IFERROR(__xludf.DUMMYFUNCTION("GOOGLETRANSLATE(A2843, ""en"", ""fr"")"),"Manipulateur")</f>
        <v>Manipulateur</v>
      </c>
      <c r="D2843" s="1" t="s">
        <v>4963</v>
      </c>
    </row>
    <row r="2844" spans="1:132" ht="14.25" customHeight="1" x14ac:dyDescent="0.3">
      <c r="A2844" s="1" t="s">
        <v>2985</v>
      </c>
      <c r="B2844" s="1" t="str">
        <f ca="1">IFERROR(__xludf.DUMMYFUNCTION("GOOGLETRANSLATE(A2844, ""en"", ""fr"")"),"Manuel Hidalgo")</f>
        <v>Manuel Hidalgo</v>
      </c>
      <c r="AD2844" s="1" t="s">
        <v>27</v>
      </c>
      <c r="BF2844" s="1" t="s">
        <v>55</v>
      </c>
      <c r="DE2844" s="1" t="s">
        <v>106</v>
      </c>
      <c r="EB2844" s="1" t="s">
        <v>129</v>
      </c>
    </row>
    <row r="2845" spans="1:132" ht="14.25" customHeight="1" x14ac:dyDescent="0.3">
      <c r="A2845" s="1" t="s">
        <v>2986</v>
      </c>
      <c r="B2845" s="1" t="str">
        <f ca="1">IFERROR(__xludf.DUMMYFUNCTION("GOOGLETRANSLATE(A2845, ""en"", ""fr"")"),"beaucoup")</f>
        <v>beaucoup</v>
      </c>
      <c r="J2845" s="1" t="s">
        <v>7</v>
      </c>
    </row>
    <row r="2846" spans="1:132" ht="14.25" customHeight="1" x14ac:dyDescent="0.3">
      <c r="A2846" s="1" t="s">
        <v>2987</v>
      </c>
      <c r="B2846" s="1" t="str">
        <f ca="1">IFERROR(__xludf.DUMMYFUNCTION("GOOGLETRANSLATE(A2846, ""en"", ""fr"")"),"maomie")</f>
        <v>maomie</v>
      </c>
      <c r="X2846" s="1" t="s">
        <v>21</v>
      </c>
      <c r="AA2846" s="1" t="s">
        <v>24</v>
      </c>
      <c r="BF2846" s="1" t="s">
        <v>55</v>
      </c>
      <c r="DV2846" s="1" t="s">
        <v>123</v>
      </c>
      <c r="EB2846" s="1" t="s">
        <v>129</v>
      </c>
    </row>
    <row r="2847" spans="1:132" ht="14.25" customHeight="1" x14ac:dyDescent="0.3">
      <c r="A2847" s="1" t="s">
        <v>2988</v>
      </c>
      <c r="B2847" s="1" t="str">
        <f ca="1">IFERROR(__xludf.DUMMYFUNCTION("GOOGLETRANSLATE(A2847, ""en"", ""fr"")"),"mar")</f>
        <v>mar</v>
      </c>
      <c r="J2847" s="1" t="s">
        <v>7</v>
      </c>
    </row>
    <row r="2848" spans="1:132" ht="14.25" customHeight="1" x14ac:dyDescent="0.3">
      <c r="A2848" s="1" t="s">
        <v>2989</v>
      </c>
      <c r="B2848" s="1" t="str">
        <f ca="1">IFERROR(__xludf.DUMMYFUNCTION("GOOGLETRANSLATE(A2848, ""en"", ""fr"")"),"marathon")</f>
        <v>marathon</v>
      </c>
      <c r="AP2848" s="1" t="s">
        <v>39</v>
      </c>
      <c r="BI2848" s="1" t="s">
        <v>58</v>
      </c>
      <c r="DT2848" s="1" t="s">
        <v>121</v>
      </c>
    </row>
    <row r="2849" spans="1:136" ht="14.25" customHeight="1" x14ac:dyDescent="0.3">
      <c r="A2849" s="1" t="s">
        <v>2990</v>
      </c>
      <c r="B2849" s="1" t="str">
        <f ca="1">IFERROR(__xludf.DUMMYFUNCTION("GOOGLETRANSLATE(A2849, ""en"", ""fr"")"),"marathon pétrole")</f>
        <v>marathon pétrole</v>
      </c>
      <c r="AP2849" s="1" t="s">
        <v>39</v>
      </c>
      <c r="BF2849" s="1" t="s">
        <v>55</v>
      </c>
      <c r="BI2849" s="1" t="s">
        <v>58</v>
      </c>
      <c r="EB2849" s="1" t="s">
        <v>129</v>
      </c>
    </row>
    <row r="2850" spans="1:136" ht="14.25" customHeight="1" x14ac:dyDescent="0.3">
      <c r="A2850" s="1" t="s">
        <v>2991</v>
      </c>
      <c r="B2850" s="1" t="str">
        <f ca="1">IFERROR(__xludf.DUMMYFUNCTION("GOOGLETRANSLATE(A2850, ""en"", ""fr"")"),"mars")</f>
        <v>mars</v>
      </c>
      <c r="J2850" s="1" t="s">
        <v>7</v>
      </c>
    </row>
    <row r="2851" spans="1:136" ht="14.25" customHeight="1" x14ac:dyDescent="0.3">
      <c r="A2851" s="1" t="s">
        <v>2992</v>
      </c>
      <c r="B2851" s="1" t="str">
        <f ca="1">IFERROR(__xludf.DUMMYFUNCTION("GOOGLETRANSLATE(A2851, ""en"", ""fr"")"),"analyse marginale")</f>
        <v>analyse marginale</v>
      </c>
      <c r="M2851" s="1" t="s">
        <v>10</v>
      </c>
    </row>
    <row r="2852" spans="1:136" ht="14.25" customHeight="1" x14ac:dyDescent="0.3">
      <c r="A2852" s="1" t="s">
        <v>2993</v>
      </c>
      <c r="B2852" s="1" t="str">
        <f ca="1">IFERROR(__xludf.DUMMYFUNCTION("GOOGLETRANSLATE(A2852, ""en"", ""fr"")"),"Propension marginale à consommer")</f>
        <v>Propension marginale à consommer</v>
      </c>
      <c r="M2852" s="1" t="s">
        <v>10</v>
      </c>
    </row>
    <row r="2853" spans="1:136" ht="14.25" customHeight="1" x14ac:dyDescent="0.3">
      <c r="A2853" s="1" t="s">
        <v>2994</v>
      </c>
      <c r="B2853" s="1" t="str">
        <f ca="1">IFERROR(__xludf.DUMMYFUNCTION("GOOGLETRANSLATE(A2853, ""en"", ""fr"")"),"Propension marginale à investir")</f>
        <v>Propension marginale à investir</v>
      </c>
      <c r="M2853" s="1" t="s">
        <v>10</v>
      </c>
    </row>
    <row r="2854" spans="1:136" ht="14.25" customHeight="1" x14ac:dyDescent="0.3">
      <c r="A2854" s="1" t="s">
        <v>2995</v>
      </c>
      <c r="B2854" s="1" t="str">
        <f ca="1">IFERROR(__xludf.DUMMYFUNCTION("GOOGLETRANSLATE(A2854, ""en"", ""fr"")"),"Lumière marib")</f>
        <v>Lumière marib</v>
      </c>
      <c r="R2854" s="1" t="s">
        <v>15</v>
      </c>
      <c r="CS2854" s="1" t="s">
        <v>94</v>
      </c>
    </row>
    <row r="2855" spans="1:136" ht="14.25" customHeight="1" x14ac:dyDescent="0.3">
      <c r="A2855" s="1" t="s">
        <v>2996</v>
      </c>
      <c r="B2855" s="1" t="str">
        <f ca="1">IFERROR(__xludf.DUMMYFUNCTION("GOOGLETRANSLATE(A2855, ""en"", ""fr"")"),"Camionnette maritime")</f>
        <v>Camionnette maritime</v>
      </c>
      <c r="E2855" s="1" t="s">
        <v>3</v>
      </c>
    </row>
    <row r="2856" spans="1:136" ht="14.25" customHeight="1" x14ac:dyDescent="0.3">
      <c r="A2856" s="1" t="s">
        <v>2997</v>
      </c>
      <c r="B2856" s="1" t="str">
        <f ca="1">IFERROR(__xludf.DUMMYFUNCTION("GOOGLETRANSLATE(A2856, ""en"", ""fr"")"),"RÉDUCTION")</f>
        <v>RÉDUCTION</v>
      </c>
      <c r="D2856" s="1" t="s">
        <v>4963</v>
      </c>
    </row>
    <row r="2857" spans="1:136" ht="14.25" customHeight="1" x14ac:dyDescent="0.3">
      <c r="A2857" s="1" t="s">
        <v>2998</v>
      </c>
      <c r="B2857" s="1" t="str">
        <f ca="1">IFERROR(__xludf.DUMMYFUNCTION("GOOGLETRANSLATE(A2857, ""en"", ""fr"")"),"Marquage")</f>
        <v>Marquage</v>
      </c>
      <c r="D2857" s="1" t="s">
        <v>4963</v>
      </c>
    </row>
    <row r="2858" spans="1:136" ht="14.25" customHeight="1" x14ac:dyDescent="0.3">
      <c r="A2858" s="1" t="s">
        <v>2999</v>
      </c>
      <c r="B2858" s="1" t="str">
        <f ca="1">IFERROR(__xludf.DUMMYFUNCTION("GOOGLETRANSLATE(A2858, ""en"", ""fr"")"),"panier du marché")</f>
        <v>panier du marché</v>
      </c>
      <c r="M2858" s="1" t="s">
        <v>10</v>
      </c>
    </row>
    <row r="2859" spans="1:136" ht="14.25" customHeight="1" x14ac:dyDescent="0.3">
      <c r="A2859" s="1" t="s">
        <v>3000</v>
      </c>
      <c r="B2859" s="1" t="str">
        <f ca="1">IFERROR(__xludf.DUMMYFUNCTION("GOOGLETRANSLATE(A2859, ""en"", ""fr"")"),"prix de compensation du marché")</f>
        <v>prix de compensation du marché</v>
      </c>
      <c r="M2859" s="1" t="s">
        <v>10</v>
      </c>
    </row>
    <row r="2860" spans="1:136" ht="14.25" customHeight="1" x14ac:dyDescent="0.3">
      <c r="A2860" s="1" t="s">
        <v>3001</v>
      </c>
      <c r="B2860" s="1" t="str">
        <f ca="1">IFERROR(__xludf.DUMMYFUNCTION("GOOGLETRANSLATE(A2860, ""en"", ""fr"")"),"indice de développement du marché")</f>
        <v>indice de développement du marché</v>
      </c>
      <c r="M2860" s="1" t="s">
        <v>10</v>
      </c>
    </row>
    <row r="2861" spans="1:136" ht="14.25" customHeight="1" x14ac:dyDescent="0.3">
      <c r="A2861" s="1" t="s">
        <v>3002</v>
      </c>
      <c r="B2861" s="1" t="str">
        <f ca="1">IFERROR(__xludf.DUMMYFUNCTION("GOOGLETRANSLATE(A2861, ""en"", ""fr"")"),"économie de marché")</f>
        <v>économie de marché</v>
      </c>
      <c r="M2861" s="1" t="s">
        <v>10</v>
      </c>
    </row>
    <row r="2862" spans="1:136" ht="14.25" customHeight="1" x14ac:dyDescent="0.3">
      <c r="A2862" s="1" t="s">
        <v>3003</v>
      </c>
      <c r="B2862" s="1" t="str">
        <f ca="1">IFERROR(__xludf.DUMMYFUNCTION("GOOGLETRANSLATE(A2862, ""en"", ""fr"")"),"Avantages d'internalisation du marché")</f>
        <v>Avantages d'internalisation du marché</v>
      </c>
      <c r="M2862" s="1" t="s">
        <v>10</v>
      </c>
    </row>
    <row r="2863" spans="1:136" ht="14.25" customHeight="1" x14ac:dyDescent="0.3">
      <c r="A2863" s="1" t="s">
        <v>3004</v>
      </c>
      <c r="B2863" s="1" t="str">
        <f ca="1">IFERROR(__xludf.DUMMYFUNCTION("GOOGLETRANSLATE(A2863, ""en"", ""fr"")"),"modèle de marché")</f>
        <v>modèle de marché</v>
      </c>
      <c r="M2863" s="1" t="s">
        <v>10</v>
      </c>
    </row>
    <row r="2864" spans="1:136" ht="14.25" customHeight="1" x14ac:dyDescent="0.3">
      <c r="A2864" s="1" t="s">
        <v>3005</v>
      </c>
      <c r="B2864" s="1" t="str">
        <f ca="1">IFERROR(__xludf.DUMMYFUNCTION("GOOGLETRANSLATE(A2864, ""en"", ""fr"")"),"risque du marché")</f>
        <v>risque du marché</v>
      </c>
      <c r="M2864" s="1" t="s">
        <v>10</v>
      </c>
      <c r="EF2864" s="1" t="s">
        <v>133</v>
      </c>
    </row>
    <row r="2865" spans="1:137" ht="14.25" customHeight="1" x14ac:dyDescent="0.3">
      <c r="A2865" s="1" t="s">
        <v>3006</v>
      </c>
      <c r="B2865" s="1" t="str">
        <f ca="1">IFERROR(__xludf.DUMMYFUNCTION("GOOGLETRANSLATE(A2865, ""en"", ""fr"")"),"Sentiment du marché")</f>
        <v>Sentiment du marché</v>
      </c>
      <c r="M2865" s="1" t="s">
        <v>10</v>
      </c>
    </row>
    <row r="2866" spans="1:137" ht="14.25" customHeight="1" x14ac:dyDescent="0.3">
      <c r="A2866" s="1" t="s">
        <v>3007</v>
      </c>
      <c r="B2866" s="1" t="str">
        <f ca="1">IFERROR(__xludf.DUMMYFUNCTION("GOOGLETRANSLATE(A2866, ""en"", ""fr"")"),"part de marché")</f>
        <v>part de marché</v>
      </c>
      <c r="M2866" s="1" t="s">
        <v>10</v>
      </c>
    </row>
    <row r="2867" spans="1:137" ht="14.25" customHeight="1" x14ac:dyDescent="0.3">
      <c r="A2867" s="1" t="s">
        <v>3008</v>
      </c>
      <c r="B2867" s="1" t="str">
        <f ca="1">IFERROR(__xludf.DUMMYFUNCTION("GOOGLETRANSLATE(A2867, ""en"", ""fr"")"),"la taille du marché")</f>
        <v>la taille du marché</v>
      </c>
      <c r="M2867" s="1" t="s">
        <v>10</v>
      </c>
    </row>
    <row r="2868" spans="1:137" ht="14.25" customHeight="1" x14ac:dyDescent="0.3">
      <c r="A2868" s="1" t="s">
        <v>3009</v>
      </c>
      <c r="B2868" s="1" t="str">
        <f ca="1">IFERROR(__xludf.DUMMYFUNCTION("GOOGLETRANSLATE(A2868, ""en"", ""fr"")"),"valeur marchande")</f>
        <v>valeur marchande</v>
      </c>
      <c r="CR2868" s="1" t="s">
        <v>93</v>
      </c>
    </row>
    <row r="2869" spans="1:137" ht="14.25" customHeight="1" x14ac:dyDescent="0.3">
      <c r="A2869" s="1" t="s">
        <v>3010</v>
      </c>
      <c r="B2869" s="1" t="str">
        <f ca="1">IFERROR(__xludf.DUMMYFUNCTION("GOOGLETRANSLATE(A2869, ""en"", ""fr"")"),"titres commercialisables")</f>
        <v>titres commercialisables</v>
      </c>
      <c r="CR2869" s="1" t="s">
        <v>93</v>
      </c>
    </row>
    <row r="2870" spans="1:137" ht="14.25" customHeight="1" x14ac:dyDescent="0.3">
      <c r="A2870" s="1" t="s">
        <v>3011</v>
      </c>
      <c r="B2870" s="1" t="str">
        <f ca="1">IFERROR(__xludf.DUMMYFUNCTION("GOOGLETRANSLATE(A2870, ""en"", ""fr"")"),"Marlboro vendredi")</f>
        <v>Marlboro vendredi</v>
      </c>
      <c r="M2870" s="1" t="s">
        <v>10</v>
      </c>
    </row>
    <row r="2871" spans="1:137" ht="14.25" customHeight="1" x14ac:dyDescent="0.3">
      <c r="A2871" s="1" t="s">
        <v>3012</v>
      </c>
      <c r="B2871" s="1" t="str">
        <f ca="1">IFERROR(__xludf.DUMMYFUNCTION("GOOGLETRANSLATE(A2871, ""en"", ""fr"")"),"Marlim")</f>
        <v>Marlim</v>
      </c>
      <c r="AS2871" s="1" t="s">
        <v>42</v>
      </c>
      <c r="BW2871" s="1" t="s">
        <v>72</v>
      </c>
      <c r="DD2871" s="1" t="s">
        <v>105</v>
      </c>
      <c r="EG2871" s="1" t="s">
        <v>134</v>
      </c>
    </row>
    <row r="2872" spans="1:137" ht="14.25" customHeight="1" x14ac:dyDescent="0.3">
      <c r="A2872" s="1" t="s">
        <v>3013</v>
      </c>
      <c r="B2872" s="1" t="str">
        <f ca="1">IFERROR(__xludf.DUMMYFUNCTION("GOOGLETRANSLATE(A2872, ""en"", ""fr"")"),"Mélanger Mars")</f>
        <v>Mélanger Mars</v>
      </c>
      <c r="R2872" s="1" t="s">
        <v>15</v>
      </c>
      <c r="CS2872" s="1" t="s">
        <v>94</v>
      </c>
    </row>
    <row r="2873" spans="1:137" ht="14.25" customHeight="1" x14ac:dyDescent="0.3">
      <c r="A2873" s="1" t="s">
        <v>3014</v>
      </c>
      <c r="B2873" s="1" t="str">
        <f ca="1">IFERROR(__xludf.DUMMYFUNCTION("GOOGLETRANSLATE(A2873, ""en"", ""fr"")"),"Plan Marshall")</f>
        <v>Plan Marshall</v>
      </c>
      <c r="M2873" s="1" t="s">
        <v>10</v>
      </c>
    </row>
    <row r="2874" spans="1:137" ht="14.25" customHeight="1" x14ac:dyDescent="0.3">
      <c r="A2874" s="1" t="s">
        <v>3015</v>
      </c>
      <c r="B2874" s="1" t="str">
        <f ca="1">IFERROR(__xludf.DUMMYFUNCTION("GOOGLETRANSLATE(A2874, ""en"", ""fr"")"),"marun")</f>
        <v>marun</v>
      </c>
      <c r="AU2874" s="1" t="s">
        <v>44</v>
      </c>
      <c r="BK2874" s="1" t="s">
        <v>60</v>
      </c>
      <c r="DD2874" s="1" t="s">
        <v>105</v>
      </c>
    </row>
    <row r="2875" spans="1:137" ht="14.25" customHeight="1" x14ac:dyDescent="0.3">
      <c r="A2875" s="1" t="s">
        <v>3016</v>
      </c>
      <c r="B2875" s="1" t="str">
        <f ca="1">IFERROR(__xludf.DUMMYFUNCTION("GOOGLETRANSLATE(A2875, ""en"", ""fr"")"),"Masila")</f>
        <v>Masila</v>
      </c>
      <c r="R2875" s="1" t="s">
        <v>15</v>
      </c>
      <c r="CS2875" s="1" t="s">
        <v>94</v>
      </c>
    </row>
    <row r="2876" spans="1:137" ht="14.25" customHeight="1" x14ac:dyDescent="0.3">
      <c r="A2876" s="1" t="s">
        <v>3017</v>
      </c>
      <c r="B2876" s="1" t="str">
        <f ca="1">IFERROR(__xludf.DUMMYFUNCTION("GOOGLETRANSLATE(A2876, ""en"", ""fr"")"),"marché de masse")</f>
        <v>marché de masse</v>
      </c>
      <c r="M2876" s="1" t="s">
        <v>10</v>
      </c>
    </row>
    <row r="2877" spans="1:137" ht="14.25" customHeight="1" x14ac:dyDescent="0.3">
      <c r="A2877" s="1" t="s">
        <v>3018</v>
      </c>
      <c r="B2877" s="1" t="str">
        <f ca="1">IFERROR(__xludf.DUMMYFUNCTION("GOOGLETRANSLATE(A2877, ""en"", ""fr"")"),"économie mature")</f>
        <v>économie mature</v>
      </c>
      <c r="M2877" s="1" t="s">
        <v>10</v>
      </c>
    </row>
    <row r="2878" spans="1:137" ht="14.25" customHeight="1" x14ac:dyDescent="0.3">
      <c r="A2878" s="1" t="s">
        <v>3019</v>
      </c>
      <c r="B2878" s="1" t="str">
        <f ca="1">IFERROR(__xludf.DUMMYFUNCTION("GOOGLETRANSLATE(A2878, ""en"", ""fr"")"),"marché mature")</f>
        <v>marché mature</v>
      </c>
      <c r="M2878" s="1" t="s">
        <v>10</v>
      </c>
    </row>
    <row r="2879" spans="1:137" ht="14.25" customHeight="1" x14ac:dyDescent="0.3">
      <c r="A2879" s="1" t="s">
        <v>3020</v>
      </c>
      <c r="B2879" s="1" t="str">
        <f ca="1">IFERROR(__xludf.DUMMYFUNCTION("GOOGLETRANSLATE(A2879, ""en"", ""fr"")"),"Maureen")</f>
        <v>Maureen</v>
      </c>
      <c r="R2879" s="1" t="s">
        <v>15</v>
      </c>
      <c r="CS2879" s="1" t="s">
        <v>94</v>
      </c>
    </row>
    <row r="2880" spans="1:137" ht="14.25" customHeight="1" x14ac:dyDescent="0.3">
      <c r="A2880" s="1" t="s">
        <v>3021</v>
      </c>
      <c r="B2880" s="1" t="str">
        <f ca="1">IFERROR(__xludf.DUMMYFUNCTION("GOOGLETRANSLATE(A2880, ""en"", ""fr"")"),"peut")</f>
        <v>peut</v>
      </c>
      <c r="J2880" s="1" t="s">
        <v>7</v>
      </c>
    </row>
    <row r="2881" spans="1:142" ht="14.25" customHeight="1" x14ac:dyDescent="0.3">
      <c r="A2881" s="1" t="s">
        <v>3022</v>
      </c>
      <c r="B2881" s="1" t="str">
        <f ca="1">IFERROR(__xludf.DUMMYFUNCTION("GOOGLETRANSLATE(A2881, ""en"", ""fr"")"),"Maya")</f>
        <v>Maya</v>
      </c>
      <c r="R2881" s="1" t="s">
        <v>15</v>
      </c>
      <c r="CS2881" s="1" t="s">
        <v>94</v>
      </c>
    </row>
    <row r="2882" spans="1:142" ht="14.25" customHeight="1" x14ac:dyDescent="0.3">
      <c r="A2882" s="1" t="s">
        <v>3023</v>
      </c>
      <c r="B2882" s="1" t="str">
        <f ca="1">IFERROR(__xludf.DUMMYFUNCTION("GOOGLETRANSLATE(A2882, ""en"", ""fr"")"),"mbtu")</f>
        <v>mbtu</v>
      </c>
      <c r="EH2882" s="1" t="s">
        <v>135</v>
      </c>
    </row>
    <row r="2883" spans="1:142" ht="14.25" customHeight="1" x14ac:dyDescent="0.3">
      <c r="A2883" s="1" t="s">
        <v>3024</v>
      </c>
      <c r="B2883" s="1" t="str">
        <f ca="1">IFERROR(__xludf.DUMMYFUNCTION("GOOGLETRANSLATE(A2883, ""en"", ""fr"")"),"Règle McCallum")</f>
        <v>Règle McCallum</v>
      </c>
      <c r="M2883" s="1" t="s">
        <v>10</v>
      </c>
    </row>
    <row r="2884" spans="1:142" ht="14.25" customHeight="1" x14ac:dyDescent="0.3">
      <c r="A2884" s="1" t="s">
        <v>3025</v>
      </c>
      <c r="B2884" s="1" t="str">
        <f ca="1">IFERROR(__xludf.DUMMYFUNCTION("GOOGLETRANSLATE(A2884, ""en"", ""fr"")"),"moi")</f>
        <v>moi</v>
      </c>
      <c r="J2884" s="1" t="s">
        <v>7</v>
      </c>
    </row>
    <row r="2885" spans="1:142" ht="14.25" customHeight="1" x14ac:dyDescent="0.3">
      <c r="A2885" s="1" t="s">
        <v>3026</v>
      </c>
      <c r="B2885" s="1" t="str">
        <f ca="1">IFERROR(__xludf.DUMMYFUNCTION("GOOGLETRANSLATE(A2885, ""en"", ""fr"")"),"Réversion moyenne")</f>
        <v>Réversion moyenne</v>
      </c>
      <c r="M2885" s="1" t="s">
        <v>10</v>
      </c>
    </row>
    <row r="2886" spans="1:142" ht="14.25" customHeight="1" x14ac:dyDescent="0.3">
      <c r="A2886" s="1" t="s">
        <v>3027</v>
      </c>
      <c r="B2886" s="1" t="str">
        <f ca="1">IFERROR(__xludf.DUMMYFUNCTION("GOOGLETRANSLATE(A2886, ""en"", ""fr"")"),"Médanito")</f>
        <v>Médanito</v>
      </c>
      <c r="R2886" s="1" t="s">
        <v>15</v>
      </c>
      <c r="CS2886" s="1" t="s">
        <v>94</v>
      </c>
    </row>
    <row r="2887" spans="1:142" ht="14.25" customHeight="1" x14ac:dyDescent="0.3">
      <c r="A2887" s="1" t="s">
        <v>3028</v>
      </c>
      <c r="B2887" s="1" t="str">
        <f ca="1">IFERROR(__xludf.DUMMYFUNCTION("GOOGLETRANSLATE(A2887, ""en"", ""fr"")"),"Méditerranée Sidi Kerir")</f>
        <v>Méditerranée Sidi Kerir</v>
      </c>
      <c r="R2887" s="1" t="s">
        <v>15</v>
      </c>
      <c r="CS2887" s="1" t="s">
        <v>94</v>
      </c>
    </row>
    <row r="2888" spans="1:142" ht="14.25" customHeight="1" x14ac:dyDescent="0.3">
      <c r="A2888" s="1" t="s">
        <v>3029</v>
      </c>
      <c r="B2888" s="1" t="str">
        <f ca="1">IFERROR(__xludf.DUMMYFUNCTION("GOOGLETRANSLATE(A2888, ""en"", ""fr"")"),"Méditerranéen Sidi Kerir lourd")</f>
        <v>Méditerranéen Sidi Kerir lourd</v>
      </c>
      <c r="R2888" s="1" t="s">
        <v>15</v>
      </c>
      <c r="CS2888" s="1" t="s">
        <v>94</v>
      </c>
    </row>
    <row r="2889" spans="1:142" ht="14.25" customHeight="1" x14ac:dyDescent="0.3">
      <c r="A2889" s="1" t="s">
        <v>3030</v>
      </c>
      <c r="B2889" s="1" t="str">
        <f ca="1">IFERROR(__xludf.DUMMYFUNCTION("GOOGLETRANSLATE(A2889, ""en"", ""fr"")"),"Pétrole brut moyen")</f>
        <v>Pétrole brut moyen</v>
      </c>
      <c r="EL2889" s="1" t="s">
        <v>139</v>
      </c>
    </row>
    <row r="2890" spans="1:142" ht="14.25" customHeight="1" x14ac:dyDescent="0.3">
      <c r="A2890" s="1" t="s">
        <v>3031</v>
      </c>
      <c r="B2890" s="1" t="str">
        <f ca="1">IFERROR(__xludf.DUMMYFUNCTION("GOOGLETRANSLATE(A2890, ""en"", ""fr"")"),"moyen d'échange")</f>
        <v>moyen d'échange</v>
      </c>
      <c r="M2890" s="1" t="s">
        <v>10</v>
      </c>
    </row>
    <row r="2891" spans="1:142" ht="14.25" customHeight="1" x14ac:dyDescent="0.3">
      <c r="A2891" s="1" t="s">
        <v>3032</v>
      </c>
      <c r="B2891" s="1" t="str">
        <f ca="1">IFERROR(__xludf.DUMMYFUNCTION("GOOGLETRANSLATE(A2891, ""en"", ""fr"")"),"mercantile")</f>
        <v>mercantile</v>
      </c>
      <c r="M2891" s="1" t="s">
        <v>10</v>
      </c>
    </row>
    <row r="2892" spans="1:142" ht="14.25" customHeight="1" x14ac:dyDescent="0.3">
      <c r="A2892" s="1" t="s">
        <v>3033</v>
      </c>
      <c r="B2892" s="1" t="str">
        <f ca="1">IFERROR(__xludf.DUMMYFUNCTION("GOOGLETRANSLATE(A2892, ""en"", ""fr"")"),"MÉRITOIRE")</f>
        <v>MÉRITOIRE</v>
      </c>
      <c r="H2892" s="1" t="s">
        <v>4964</v>
      </c>
    </row>
    <row r="2893" spans="1:142" ht="14.25" customHeight="1" x14ac:dyDescent="0.3">
      <c r="A2893" s="1" t="s">
        <v>3034</v>
      </c>
      <c r="B2893" s="1" t="str">
        <f ca="1">IFERROR(__xludf.DUMMYFUNCTION("GOOGLETRANSLATE(A2893, ""en"", ""fr"")"),"Merrill Lynch")</f>
        <v>Merrill Lynch</v>
      </c>
      <c r="CR2893" s="1" t="s">
        <v>93</v>
      </c>
    </row>
    <row r="2894" spans="1:142" ht="14.25" customHeight="1" x14ac:dyDescent="0.3">
      <c r="A2894" s="1" t="s">
        <v>3035</v>
      </c>
      <c r="B2894" s="1" t="str">
        <f ca="1">IFERROR(__xludf.DUMMYFUNCTION("GOOGLETRANSLATE(A2894, ""en"", ""fr"")"),"Mesa 30")</f>
        <v>Mesa 30</v>
      </c>
      <c r="R2894" s="1" t="s">
        <v>15</v>
      </c>
      <c r="CS2894" s="1" t="s">
        <v>94</v>
      </c>
    </row>
    <row r="2895" spans="1:142" ht="14.25" customHeight="1" x14ac:dyDescent="0.3">
      <c r="A2895" s="1" t="s">
        <v>3036</v>
      </c>
      <c r="B2895" s="1" t="str">
        <f ca="1">IFERROR(__xludf.DUMMYFUNCTION("GOOGLETRANSLATE(A2895, ""en"", ""fr"")"),"Mesa mélange")</f>
        <v>Mesa mélange</v>
      </c>
      <c r="R2895" s="1" t="s">
        <v>15</v>
      </c>
      <c r="CS2895" s="1" t="s">
        <v>94</v>
      </c>
    </row>
    <row r="2896" spans="1:142" ht="14.25" customHeight="1" x14ac:dyDescent="0.3">
      <c r="A2896" s="1" t="s">
        <v>3037</v>
      </c>
      <c r="B2896" s="1" t="str">
        <f ca="1">IFERROR(__xludf.DUMMYFUNCTION("GOOGLETRANSLATE(A2896, ""en"", ""fr"")"),"bassin de foreep mésopotamien")</f>
        <v>bassin de foreep mésopotamien</v>
      </c>
      <c r="AU2896" s="1" t="s">
        <v>44</v>
      </c>
      <c r="BS2896" s="1" t="s">
        <v>68</v>
      </c>
      <c r="DD2896" s="1" t="s">
        <v>105</v>
      </c>
      <c r="DW2896" s="1" t="s">
        <v>124</v>
      </c>
    </row>
    <row r="2897" spans="1:142" ht="14.25" customHeight="1" x14ac:dyDescent="0.3">
      <c r="A2897" s="1" t="s">
        <v>3038</v>
      </c>
      <c r="B2897" s="1" t="str">
        <f ca="1">IFERROR(__xludf.DUMMYFUNCTION("GOOGLETRANSLATE(A2897, ""en"", ""fr"")"),"Teneur en méthane en gaz naturel")</f>
        <v>Teneur en méthane en gaz naturel</v>
      </c>
      <c r="EL2897" s="1" t="s">
        <v>139</v>
      </c>
    </row>
    <row r="2898" spans="1:142" ht="14.25" customHeight="1" x14ac:dyDescent="0.3">
      <c r="A2898" s="1" t="s">
        <v>3039</v>
      </c>
      <c r="B2898" s="1" t="str">
        <f ca="1">IFERROR(__xludf.DUMMYFUNCTION("GOOGLETRANSLATE(A2898, ""en"", ""fr"")"),"Mexique")</f>
        <v>Mexique</v>
      </c>
      <c r="AD2898" s="1" t="s">
        <v>27</v>
      </c>
      <c r="EK2898" s="1" t="s">
        <v>138</v>
      </c>
    </row>
    <row r="2899" spans="1:142" ht="14.25" customHeight="1" x14ac:dyDescent="0.3">
      <c r="A2899" s="1" t="s">
        <v>3040</v>
      </c>
      <c r="B2899" s="1" t="str">
        <f ca="1">IFERROR(__xludf.DUMMYFUNCTION("GOOGLETRANSLATE(A2899, ""en"", ""fr"")"),"microéconomie")</f>
        <v>microéconomie</v>
      </c>
      <c r="M2899" s="1" t="s">
        <v>10</v>
      </c>
    </row>
    <row r="2900" spans="1:142" ht="14.25" customHeight="1" x14ac:dyDescent="0.3">
      <c r="A2900" s="1" t="s">
        <v>3041</v>
      </c>
      <c r="B2900" s="1" t="str">
        <f ca="1">IFERROR(__xludf.DUMMYFUNCTION("GOOGLETRANSLATE(A2900, ""en"", ""fr"")"),"microfinance")</f>
        <v>microfinance</v>
      </c>
      <c r="M2900" s="1" t="s">
        <v>10</v>
      </c>
    </row>
    <row r="2901" spans="1:142" ht="14.25" customHeight="1" x14ac:dyDescent="0.3">
      <c r="A2901" s="1" t="s">
        <v>3042</v>
      </c>
      <c r="B2901" s="1" t="str">
        <f ca="1">IFERROR(__xludf.DUMMYFUNCTION("GOOGLETRANSLATE(A2901, ""en"", ""fr"")"),"à mi-chemin")</f>
        <v>à mi-chemin</v>
      </c>
      <c r="DD2901" s="1" t="s">
        <v>105</v>
      </c>
      <c r="DF2901" s="1" t="s">
        <v>107</v>
      </c>
      <c r="DK2901" s="1" t="s">
        <v>112</v>
      </c>
    </row>
    <row r="2902" spans="1:142" ht="14.25" customHeight="1" x14ac:dyDescent="0.3">
      <c r="A2902" s="1" t="s">
        <v>3043</v>
      </c>
      <c r="B2902" s="1" t="str">
        <f ca="1">IFERROR(__xludf.DUMMYFUNCTION("GOOGLETRANSLATE(A2902, ""en"", ""fr"")"),"pourrait")</f>
        <v>pourrait</v>
      </c>
      <c r="J2902" s="1" t="s">
        <v>7</v>
      </c>
    </row>
    <row r="2903" spans="1:142" ht="14.25" customHeight="1" x14ac:dyDescent="0.3">
      <c r="A2903" s="1" t="s">
        <v>3044</v>
      </c>
      <c r="B2903" s="1" t="str">
        <f ca="1">IFERROR(__xludf.DUMMYFUNCTION("GOOGLETRANSLATE(A2903, ""en"", ""fr"")"),"Milton Friedman")</f>
        <v>Milton Friedman</v>
      </c>
      <c r="M2903" s="1" t="s">
        <v>10</v>
      </c>
    </row>
    <row r="2904" spans="1:142" ht="14.25" customHeight="1" x14ac:dyDescent="0.3">
      <c r="A2904" s="1" t="s">
        <v>3045</v>
      </c>
      <c r="B2904" s="1" t="str">
        <f ca="1">IFERROR(__xludf.DUMMYFUNCTION("GOOGLETRANSLATE(A2904, ""en"", ""fr"")"),"raffinerie de Mina al-Ahmadi")</f>
        <v>raffinerie de Mina al-Ahmadi</v>
      </c>
      <c r="BD2904" s="1" t="s">
        <v>53</v>
      </c>
      <c r="BF2904" s="1" t="s">
        <v>55</v>
      </c>
      <c r="CL2904" s="1" t="s">
        <v>87</v>
      </c>
      <c r="CP2904" s="1" t="s">
        <v>91</v>
      </c>
      <c r="EB2904" s="1" t="s">
        <v>129</v>
      </c>
    </row>
    <row r="2905" spans="1:142" ht="14.25" customHeight="1" x14ac:dyDescent="0.3">
      <c r="A2905" s="1" t="s">
        <v>3046</v>
      </c>
      <c r="B2905" s="1" t="str">
        <f ca="1">IFERROR(__xludf.DUMMYFUNCTION("GOOGLETRANSLATE(A2905, ""en"", ""fr"")"),"minagish")</f>
        <v>minagish</v>
      </c>
      <c r="AU2905" s="1" t="s">
        <v>44</v>
      </c>
      <c r="BS2905" s="1" t="s">
        <v>68</v>
      </c>
      <c r="DD2905" s="1" t="s">
        <v>105</v>
      </c>
      <c r="DW2905" s="1" t="s">
        <v>124</v>
      </c>
    </row>
    <row r="2906" spans="1:142" ht="14.25" customHeight="1" x14ac:dyDescent="0.3">
      <c r="A2906" s="1" t="s">
        <v>3047</v>
      </c>
      <c r="B2906" s="1" t="str">
        <f ca="1">IFERROR(__xludf.DUMMYFUNCTION("GOOGLETRANSLATE(A2906, ""en"", ""fr"")"),"Minas")</f>
        <v>Minas</v>
      </c>
      <c r="R2906" s="1" t="s">
        <v>15</v>
      </c>
      <c r="CS2906" s="1" t="s">
        <v>94</v>
      </c>
    </row>
    <row r="2907" spans="1:142" ht="14.25" customHeight="1" x14ac:dyDescent="0.3">
      <c r="A2907" s="1" t="s">
        <v>3048</v>
      </c>
      <c r="B2907" s="1" t="str">
        <f ca="1">IFERROR(__xludf.DUMMYFUNCTION("GOOGLETRANSLATE(A2907, ""en"", ""fr"")"),"salaire minimum")</f>
        <v>salaire minimum</v>
      </c>
      <c r="M2907" s="1" t="s">
        <v>10</v>
      </c>
    </row>
    <row r="2908" spans="1:142" ht="14.25" customHeight="1" x14ac:dyDescent="0.3">
      <c r="A2908" s="1" t="s">
        <v>3049</v>
      </c>
      <c r="B2908" s="1" t="str">
        <f ca="1">IFERROR(__xludf.DUMMYFUNCTION("GOOGLETRANSLATE(A2908, ""en"", ""fr"")"),"menthe")</f>
        <v>menthe</v>
      </c>
      <c r="M2908" s="1" t="s">
        <v>10</v>
      </c>
    </row>
    <row r="2909" spans="1:142" ht="14.25" customHeight="1" x14ac:dyDescent="0.3">
      <c r="A2909" s="1" t="s">
        <v>3050</v>
      </c>
      <c r="B2909" s="1" t="str">
        <f ca="1">IFERROR(__xludf.DUMMYFUNCTION("GOOGLETRANSLATE(A2909, ""en"", ""fr"")"),"Miri")</f>
        <v>Miri</v>
      </c>
      <c r="R2909" s="1" t="s">
        <v>15</v>
      </c>
      <c r="CS2909" s="1" t="s">
        <v>94</v>
      </c>
    </row>
    <row r="2910" spans="1:142" ht="14.25" customHeight="1" x14ac:dyDescent="0.3">
      <c r="A2910" s="1" t="s">
        <v>3051</v>
      </c>
      <c r="B2910" s="1" t="str">
        <f ca="1">IFERROR(__xludf.DUMMYFUNCTION("GOOGLETRANSLATE(A2910, ""en"", ""fr"")"),"Mauvaise application")</f>
        <v>Mauvaise application</v>
      </c>
      <c r="D2910" s="1" t="s">
        <v>4963</v>
      </c>
    </row>
    <row r="2911" spans="1:142" ht="14.25" customHeight="1" x14ac:dyDescent="0.3">
      <c r="A2911" s="1" t="s">
        <v>3052</v>
      </c>
      <c r="B2911" s="1" t="str">
        <f ca="1">IFERROR(__xludf.DUMMYFUNCTION("GOOGLETRANSLATE(A2911, ""en"", ""fr"")"),"Mauvaise application")</f>
        <v>Mauvaise application</v>
      </c>
      <c r="D2911" s="1" t="s">
        <v>4963</v>
      </c>
    </row>
    <row r="2912" spans="1:142" ht="14.25" customHeight="1" x14ac:dyDescent="0.3">
      <c r="A2912" s="1" t="s">
        <v>3053</v>
      </c>
      <c r="B2912" s="1" t="str">
        <f ca="1">IFERROR(__xludf.DUMMYFUNCTION("GOOGLETRANSLATE(A2912, ""en"", ""fr"")"),"Mal appliqué")</f>
        <v>Mal appliqué</v>
      </c>
      <c r="D2912" s="1" t="s">
        <v>4963</v>
      </c>
    </row>
    <row r="2913" spans="1:4" ht="14.25" customHeight="1" x14ac:dyDescent="0.3">
      <c r="A2913" s="1" t="s">
        <v>3054</v>
      </c>
      <c r="B2913" s="1" t="str">
        <f ca="1">IFERROR(__xludf.DUMMYFUNCTION("GOOGLETRANSLATE(A2913, ""en"", ""fr"")"),"Mal appliquée")</f>
        <v>Mal appliquée</v>
      </c>
      <c r="D2913" s="1" t="s">
        <v>4963</v>
      </c>
    </row>
    <row r="2914" spans="1:4" ht="14.25" customHeight="1" x14ac:dyDescent="0.3">
      <c r="A2914" s="1" t="s">
        <v>3055</v>
      </c>
      <c r="B2914" s="1" t="str">
        <f ca="1">IFERROR(__xludf.DUMMYFUNCTION("GOOGLETRANSLATE(A2914, ""en"", ""fr"")"),"MAL APPLIQUER")</f>
        <v>MAL APPLIQUER</v>
      </c>
      <c r="D2914" s="1" t="s">
        <v>4963</v>
      </c>
    </row>
    <row r="2915" spans="1:4" ht="14.25" customHeight="1" x14ac:dyDescent="0.3">
      <c r="A2915" s="1" t="s">
        <v>3056</v>
      </c>
      <c r="B2915" s="1" t="str">
        <f ca="1">IFERROR(__xludf.DUMMYFUNCTION("GOOGLETRANSLATE(A2915, ""en"", ""fr"")"),"Mal appliquant")</f>
        <v>Mal appliquant</v>
      </c>
      <c r="D2915" s="1" t="s">
        <v>4963</v>
      </c>
    </row>
    <row r="2916" spans="1:4" ht="14.25" customHeight="1" x14ac:dyDescent="0.3">
      <c r="A2916" s="1" t="s">
        <v>3057</v>
      </c>
      <c r="B2916" s="1" t="str">
        <f ca="1">IFERROR(__xludf.DUMMYFUNCTION("GOOGLETRANSLATE(A2916, ""en"", ""fr"")"),"DÉTOURNER")</f>
        <v>DÉTOURNER</v>
      </c>
      <c r="D2916" s="1" t="s">
        <v>4963</v>
      </c>
    </row>
    <row r="2917" spans="1:4" ht="14.25" customHeight="1" x14ac:dyDescent="0.3">
      <c r="A2917" s="1" t="s">
        <v>3058</v>
      </c>
      <c r="B2917" s="1" t="str">
        <f ca="1">IFERROR(__xludf.DUMMYFUNCTION("GOOGLETRANSLATE(A2917, ""en"", ""fr"")"),"Détourné")</f>
        <v>Détourné</v>
      </c>
      <c r="D2917" s="1" t="s">
        <v>4963</v>
      </c>
    </row>
    <row r="2918" spans="1:4" ht="14.25" customHeight="1" x14ac:dyDescent="0.3">
      <c r="A2918" s="1" t="s">
        <v>3059</v>
      </c>
      <c r="B2918" s="1" t="str">
        <f ca="1">IFERROR(__xludf.DUMMYFUNCTION("GOOGLETRANSLATE(A2918, ""en"", ""fr"")"),"Détournement")</f>
        <v>Détournement</v>
      </c>
      <c r="D2918" s="1" t="s">
        <v>4963</v>
      </c>
    </row>
    <row r="2919" spans="1:4" ht="14.25" customHeight="1" x14ac:dyDescent="0.3">
      <c r="A2919" s="1" t="s">
        <v>3060</v>
      </c>
      <c r="B2919" s="1" t="str">
        <f ca="1">IFERROR(__xludf.DUMMYFUNCTION("GOOGLETRANSLATE(A2919, ""en"", ""fr"")"),"Détournement")</f>
        <v>Détournement</v>
      </c>
      <c r="D2919" s="1" t="s">
        <v>4963</v>
      </c>
    </row>
    <row r="2920" spans="1:4" ht="14.25" customHeight="1" x14ac:dyDescent="0.3">
      <c r="A2920" s="1" t="s">
        <v>3061</v>
      </c>
      <c r="B2920" s="1" t="str">
        <f ca="1">IFERROR(__xludf.DUMMYFUNCTION("GOOGLETRANSLATE(A2920, ""en"", ""fr"")"),"DÉTOURNEMENT")</f>
        <v>DÉTOURNEMENT</v>
      </c>
      <c r="D2920" s="1" t="s">
        <v>4963</v>
      </c>
    </row>
    <row r="2921" spans="1:4" ht="14.25" customHeight="1" x14ac:dyDescent="0.3">
      <c r="A2921" s="1" t="s">
        <v>3062</v>
      </c>
      <c r="B2921" s="1" t="str">
        <f ca="1">IFERROR(__xludf.DUMMYFUNCTION("GOOGLETRANSLATE(A2921, ""en"", ""fr"")"),"Détournement")</f>
        <v>Détournement</v>
      </c>
      <c r="D2921" s="1" t="s">
        <v>4963</v>
      </c>
    </row>
    <row r="2922" spans="1:4" ht="14.25" customHeight="1" x14ac:dyDescent="0.3">
      <c r="A2922" s="1" t="s">
        <v>3063</v>
      </c>
      <c r="B2922" s="1" t="str">
        <f ca="1">IFERROR(__xludf.DUMMYFUNCTION("GOOGLETRANSLATE(A2922, ""en"", ""fr"")"),"Mal étendu")</f>
        <v>Mal étendu</v>
      </c>
      <c r="D2922" s="1" t="s">
        <v>4963</v>
      </c>
    </row>
    <row r="2923" spans="1:4" ht="14.25" customHeight="1" x14ac:dyDescent="0.3">
      <c r="A2923" s="1" t="s">
        <v>3064</v>
      </c>
      <c r="B2923" s="1" t="str">
        <f ca="1">IFERROR(__xludf.DUMMYFUNCTION("GOOGLETRANSLATE(A2923, ""en"", ""fr"")"),"MAL CALCULER")</f>
        <v>MAL CALCULER</v>
      </c>
      <c r="D2923" s="1" t="s">
        <v>4963</v>
      </c>
    </row>
    <row r="2924" spans="1:4" ht="14.25" customHeight="1" x14ac:dyDescent="0.3">
      <c r="A2924" s="1" t="s">
        <v>3065</v>
      </c>
      <c r="B2924" s="1" t="str">
        <f ca="1">IFERROR(__xludf.DUMMYFUNCTION("GOOGLETRANSLATE(A2924, ""en"", ""fr"")"),"Mal calculé")</f>
        <v>Mal calculé</v>
      </c>
      <c r="D2924" s="1" t="s">
        <v>4963</v>
      </c>
    </row>
    <row r="2925" spans="1:4" ht="14.25" customHeight="1" x14ac:dyDescent="0.3">
      <c r="A2925" s="1" t="s">
        <v>3066</v>
      </c>
      <c r="B2925" s="1" t="str">
        <f ca="1">IFERROR(__xludf.DUMMYFUNCTION("GOOGLETRANSLATE(A2925, ""en"", ""fr"")"),"Mal calculer")</f>
        <v>Mal calculer</v>
      </c>
      <c r="D2925" s="1" t="s">
        <v>4963</v>
      </c>
    </row>
    <row r="2926" spans="1:4" ht="14.25" customHeight="1" x14ac:dyDescent="0.3">
      <c r="A2926" s="1" t="s">
        <v>3067</v>
      </c>
      <c r="B2926" s="1" t="str">
        <f ca="1">IFERROR(__xludf.DUMMYFUNCTION("GOOGLETRANSLATE(A2926, ""en"", ""fr"")"),"Mal calculé")</f>
        <v>Mal calculé</v>
      </c>
      <c r="D2926" s="1" t="s">
        <v>4963</v>
      </c>
    </row>
    <row r="2927" spans="1:4" ht="14.25" customHeight="1" x14ac:dyDescent="0.3">
      <c r="A2927" s="1" t="s">
        <v>3068</v>
      </c>
      <c r="B2927" s="1" t="str">
        <f ca="1">IFERROR(__xludf.DUMMYFUNCTION("GOOGLETRANSLATE(A2927, ""en"", ""fr"")"),"ERREUR DE CALCUL")</f>
        <v>ERREUR DE CALCUL</v>
      </c>
      <c r="D2927" s="1" t="s">
        <v>4963</v>
      </c>
    </row>
    <row r="2928" spans="1:4" ht="14.25" customHeight="1" x14ac:dyDescent="0.3">
      <c r="A2928" s="1" t="s">
        <v>3069</v>
      </c>
      <c r="B2928" s="1" t="str">
        <f ca="1">IFERROR(__xludf.DUMMYFUNCTION("GOOGLETRANSLATE(A2928, ""en"", ""fr"")"),"Mal calculation")</f>
        <v>Mal calculation</v>
      </c>
      <c r="D2928" s="1" t="s">
        <v>4963</v>
      </c>
    </row>
    <row r="2929" spans="1:96" ht="14.25" customHeight="1" x14ac:dyDescent="0.3">
      <c r="A2929" s="1" t="s">
        <v>3070</v>
      </c>
      <c r="B2929" s="1" t="str">
        <f ca="1">IFERROR(__xludf.DUMMYFUNCTION("GOOGLETRANSLATE(A2929, ""en"", ""fr"")"),"Actifs actuels divers")</f>
        <v>Actifs actuels divers</v>
      </c>
      <c r="CR2929" s="1" t="s">
        <v>93</v>
      </c>
    </row>
    <row r="2930" spans="1:96" ht="14.25" customHeight="1" x14ac:dyDescent="0.3">
      <c r="A2930" s="1" t="s">
        <v>3071</v>
      </c>
      <c r="B2930" s="1" t="str">
        <f ca="1">IFERROR(__xludf.DUMMYFUNCTION("GOOGLETRANSLATE(A2930, ""en"", ""fr"")"),"Moyennes responsabilités actuelles")</f>
        <v>Moyennes responsabilités actuelles</v>
      </c>
      <c r="CR2930" s="1" t="s">
        <v>93</v>
      </c>
    </row>
    <row r="2931" spans="1:96" ht="14.25" customHeight="1" x14ac:dyDescent="0.3">
      <c r="A2931" s="1" t="s">
        <v>3072</v>
      </c>
      <c r="B2931" s="1" t="str">
        <f ca="1">IFERROR(__xludf.DUMMYFUNCTION("GOOGLETRANSLATE(A2931, ""en"", ""fr"")"),"frais divers")</f>
        <v>frais divers</v>
      </c>
      <c r="CR2931" s="1" t="s">
        <v>93</v>
      </c>
    </row>
    <row r="2932" spans="1:96" ht="14.25" customHeight="1" x14ac:dyDescent="0.3">
      <c r="A2932" s="1" t="s">
        <v>3073</v>
      </c>
      <c r="B2932" s="1" t="str">
        <f ca="1">IFERROR(__xludf.DUMMYFUNCTION("GOOGLETRANSLATE(A2932, ""en"", ""fr"")"),"Actifs divers non-courants")</f>
        <v>Actifs divers non-courants</v>
      </c>
      <c r="CR2932" s="1" t="s">
        <v>93</v>
      </c>
    </row>
    <row r="2933" spans="1:96" ht="14.25" customHeight="1" x14ac:dyDescent="0.3">
      <c r="A2933" s="1" t="s">
        <v>3074</v>
      </c>
      <c r="B2933" s="1" t="str">
        <f ca="1">IFERROR(__xludf.DUMMYFUNCTION("GOOGLETRANSLATE(A2933, ""en"", ""fr"")"),"Notation diverses de non-courant")</f>
        <v>Notation diverses de non-courant</v>
      </c>
      <c r="CR2933" s="1" t="s">
        <v>93</v>
      </c>
    </row>
    <row r="2934" spans="1:96" ht="14.25" customHeight="1" x14ac:dyDescent="0.3">
      <c r="A2934" s="1" t="s">
        <v>3075</v>
      </c>
      <c r="B2934" s="1" t="str">
        <f ca="1">IFERROR(__xludf.DUMMYFUNCTION("GOOGLETRANSLATE(A2934, ""en"", ""fr"")"),"SOTTISES")</f>
        <v>SOTTISES</v>
      </c>
      <c r="D2934" s="1" t="s">
        <v>4963</v>
      </c>
    </row>
    <row r="2935" spans="1:96" ht="14.25" customHeight="1" x14ac:dyDescent="0.3">
      <c r="A2935" s="1" t="s">
        <v>3076</v>
      </c>
      <c r="B2935" s="1" t="str">
        <f ca="1">IFERROR(__xludf.DUMMYFUNCTION("GOOGLETRANSLATE(A2935, ""en"", ""fr"")"),"Classification erronée")</f>
        <v>Classification erronée</v>
      </c>
      <c r="D2935" s="1" t="s">
        <v>4963</v>
      </c>
    </row>
    <row r="2936" spans="1:96" ht="14.25" customHeight="1" x14ac:dyDescent="0.3">
      <c r="A2936" s="1" t="s">
        <v>3077</v>
      </c>
      <c r="B2936" s="1" t="str">
        <f ca="1">IFERROR(__xludf.DUMMYFUNCTION("GOOGLETRANSLATE(A2936, ""en"", ""fr"")"),"Mal classé")</f>
        <v>Mal classé</v>
      </c>
      <c r="D2936" s="1" t="s">
        <v>4963</v>
      </c>
    </row>
    <row r="2937" spans="1:96" ht="14.25" customHeight="1" x14ac:dyDescent="0.3">
      <c r="A2937" s="1" t="s">
        <v>3078</v>
      </c>
      <c r="B2937" s="1" t="str">
        <f ca="1">IFERROR(__xludf.DUMMYFUNCTION("GOOGLETRANSLATE(A2937, ""en"", ""fr"")"),"INCONDUITE")</f>
        <v>INCONDUITE</v>
      </c>
      <c r="D2937" s="1" t="s">
        <v>4963</v>
      </c>
    </row>
    <row r="2938" spans="1:96" ht="14.25" customHeight="1" x14ac:dyDescent="0.3">
      <c r="A2938" s="1" t="s">
        <v>3079</v>
      </c>
      <c r="B2938" s="1" t="str">
        <f ca="1">IFERROR(__xludf.DUMMYFUNCTION("GOOGLETRANSLATE(A2938, ""en"", ""fr"")"),"Mal daté")</f>
        <v>Mal daté</v>
      </c>
      <c r="D2938" s="1" t="s">
        <v>4963</v>
      </c>
    </row>
    <row r="2939" spans="1:96" ht="14.25" customHeight="1" x14ac:dyDescent="0.3">
      <c r="A2939" s="1" t="s">
        <v>3080</v>
      </c>
      <c r="B2939" s="1" t="str">
        <f ca="1">IFERROR(__xludf.DUMMYFUNCTION("GOOGLETRANSLATE(A2939, ""en"", ""fr"")"),"DÉLIT")</f>
        <v>DÉLIT</v>
      </c>
      <c r="D2939" s="1" t="s">
        <v>4963</v>
      </c>
    </row>
    <row r="2940" spans="1:96" ht="14.25" customHeight="1" x14ac:dyDescent="0.3">
      <c r="A2940" s="1" t="s">
        <v>3081</v>
      </c>
      <c r="B2940" s="1" t="str">
        <f ca="1">IFERROR(__xludf.DUMMYFUNCTION("GOOGLETRANSLATE(A2940, ""en"", ""fr"")"),"Délits")</f>
        <v>Délits</v>
      </c>
      <c r="D2940" s="1" t="s">
        <v>4963</v>
      </c>
    </row>
    <row r="2941" spans="1:96" ht="14.25" customHeight="1" x14ac:dyDescent="0.3">
      <c r="A2941" s="1" t="s">
        <v>3082</v>
      </c>
      <c r="B2941" s="1" t="str">
        <f ca="1">IFERROR(__xludf.DUMMYFUNCTION("GOOGLETRANSLATE(A2941, ""en"", ""fr"")"),"Mal dirigé")</f>
        <v>Mal dirigé</v>
      </c>
      <c r="D2941" s="1" t="s">
        <v>4963</v>
      </c>
    </row>
    <row r="2942" spans="1:96" ht="14.25" customHeight="1" x14ac:dyDescent="0.3">
      <c r="A2942" s="1" t="s">
        <v>3083</v>
      </c>
      <c r="B2942" s="1" t="str">
        <f ca="1">IFERROR(__xludf.DUMMYFUNCTION("GOOGLETRANSLATE(A2942, ""en"", ""fr"")"),"index de misère")</f>
        <v>index de misère</v>
      </c>
      <c r="M2942" s="1" t="s">
        <v>10</v>
      </c>
    </row>
    <row r="2943" spans="1:96" ht="14.25" customHeight="1" x14ac:dyDescent="0.3">
      <c r="A2943" s="1" t="s">
        <v>3084</v>
      </c>
      <c r="B2943" s="1" t="str">
        <f ca="1">IFERROR(__xludf.DUMMYFUNCTION("GOOGLETRANSLATE(A2943, ""en"", ""fr"")"),"MALTRAITER")</f>
        <v>MALTRAITER</v>
      </c>
      <c r="D2943" s="1" t="s">
        <v>4963</v>
      </c>
    </row>
    <row r="2944" spans="1:96" ht="14.25" customHeight="1" x14ac:dyDescent="0.3">
      <c r="A2944" s="1" t="s">
        <v>3085</v>
      </c>
      <c r="B2944" s="1" t="str">
        <f ca="1">IFERROR(__xludf.DUMMYFUNCTION("GOOGLETRANSLATE(A2944, ""en"", ""fr"")"),"Mal géré")</f>
        <v>Mal géré</v>
      </c>
      <c r="D2944" s="1" t="s">
        <v>4963</v>
      </c>
    </row>
    <row r="2945" spans="1:4" ht="14.25" customHeight="1" x14ac:dyDescent="0.3">
      <c r="A2945" s="1" t="s">
        <v>3086</v>
      </c>
      <c r="B2945" s="1" t="str">
        <f ca="1">IFERROR(__xludf.DUMMYFUNCTION("GOOGLETRANSLATE(A2945, ""en"", ""fr"")"),"Mésavéniers")</f>
        <v>Mésavéniers</v>
      </c>
      <c r="D2945" s="1" t="s">
        <v>4963</v>
      </c>
    </row>
    <row r="2946" spans="1:4" ht="14.25" customHeight="1" x14ac:dyDescent="0.3">
      <c r="A2946" s="1" t="s">
        <v>3087</v>
      </c>
      <c r="B2946" s="1" t="str">
        <f ca="1">IFERROR(__xludf.DUMMYFUNCTION("GOOGLETRANSLATE(A2946, ""en"", ""fr"")"),"MAUVAISE MANIPULATION")</f>
        <v>MAUVAISE MANIPULATION</v>
      </c>
      <c r="D2946" s="1" t="s">
        <v>4963</v>
      </c>
    </row>
    <row r="2947" spans="1:4" ht="14.25" customHeight="1" x14ac:dyDescent="0.3">
      <c r="A2947" s="1" t="s">
        <v>3088</v>
      </c>
      <c r="B2947" s="1" t="str">
        <f ca="1">IFERROR(__xludf.DUMMYFUNCTION("GOOGLETRANSLATE(A2947, ""en"", ""fr"")"),"MAL RENSEIGNER")</f>
        <v>MAL RENSEIGNER</v>
      </c>
      <c r="D2947" s="1" t="s">
        <v>4963</v>
      </c>
    </row>
    <row r="2948" spans="1:4" ht="14.25" customHeight="1" x14ac:dyDescent="0.3">
      <c r="A2948" s="1" t="s">
        <v>3089</v>
      </c>
      <c r="B2948" s="1" t="str">
        <f ca="1">IFERROR(__xludf.DUMMYFUNCTION("GOOGLETRANSLATE(A2948, ""en"", ""fr"")"),"DÉSINFORMATION")</f>
        <v>DÉSINFORMATION</v>
      </c>
      <c r="D2948" s="1" t="s">
        <v>4963</v>
      </c>
    </row>
    <row r="2949" spans="1:4" ht="14.25" customHeight="1" x14ac:dyDescent="0.3">
      <c r="A2949" s="1" t="s">
        <v>3090</v>
      </c>
      <c r="B2949" s="1" t="str">
        <f ca="1">IFERROR(__xludf.DUMMYFUNCTION("GOOGLETRANSLATE(A2949, ""en"", ""fr"")"),"Mal informé")</f>
        <v>Mal informé</v>
      </c>
      <c r="D2949" s="1" t="s">
        <v>4963</v>
      </c>
    </row>
    <row r="2950" spans="1:4" ht="14.25" customHeight="1" x14ac:dyDescent="0.3">
      <c r="A2950" s="1" t="s">
        <v>3091</v>
      </c>
      <c r="B2950" s="1" t="str">
        <f ca="1">IFERROR(__xludf.DUMMYFUNCTION("GOOGLETRANSLATE(A2950, ""en"", ""fr"")"),"Mal informé")</f>
        <v>Mal informé</v>
      </c>
      <c r="D2950" s="1" t="s">
        <v>4963</v>
      </c>
    </row>
    <row r="2951" spans="1:4" ht="14.25" customHeight="1" x14ac:dyDescent="0.3">
      <c r="A2951" s="1" t="s">
        <v>3092</v>
      </c>
      <c r="B2951" s="1" t="str">
        <f ca="1">IFERROR(__xludf.DUMMYFUNCTION("GOOGLETRANSLATE(A2951, ""en"", ""fr"")"),"Désinformes")</f>
        <v>Désinformes</v>
      </c>
      <c r="D2951" s="1" t="s">
        <v>4963</v>
      </c>
    </row>
    <row r="2952" spans="1:4" ht="14.25" customHeight="1" x14ac:dyDescent="0.3">
      <c r="A2952" s="1" t="s">
        <v>3093</v>
      </c>
      <c r="B2952" s="1" t="str">
        <f ca="1">IFERROR(__xludf.DUMMYFUNCTION("GOOGLETRANSLATE(A2952, ""en"", ""fr"")"),"MAL INTERPRÉTER")</f>
        <v>MAL INTERPRÉTER</v>
      </c>
      <c r="D2952" s="1" t="s">
        <v>4963</v>
      </c>
    </row>
    <row r="2953" spans="1:4" ht="14.25" customHeight="1" x14ac:dyDescent="0.3">
      <c r="A2953" s="1" t="s">
        <v>3094</v>
      </c>
      <c r="B2953" s="1" t="str">
        <f ca="1">IFERROR(__xludf.DUMMYFUNCTION("GOOGLETRANSLATE(A2953, ""en"", ""fr"")"),"INTERPRÉTATION ERRONÉE")</f>
        <v>INTERPRÉTATION ERRONÉE</v>
      </c>
      <c r="D2953" s="1" t="s">
        <v>4963</v>
      </c>
    </row>
    <row r="2954" spans="1:4" ht="14.25" customHeight="1" x14ac:dyDescent="0.3">
      <c r="A2954" s="1" t="s">
        <v>3095</v>
      </c>
      <c r="B2954" s="1" t="str">
        <f ca="1">IFERROR(__xludf.DUMMYFUNCTION("GOOGLETRANSLATE(A2954, ""en"", ""fr"")"),"Interprétations erronées")</f>
        <v>Interprétations erronées</v>
      </c>
      <c r="D2954" s="1" t="s">
        <v>4963</v>
      </c>
    </row>
    <row r="2955" spans="1:4" ht="14.25" customHeight="1" x14ac:dyDescent="0.3">
      <c r="A2955" s="1" t="s">
        <v>3096</v>
      </c>
      <c r="B2955" s="1" t="str">
        <f ca="1">IFERROR(__xludf.DUMMYFUNCTION("GOOGLETRANSLATE(A2955, ""en"", ""fr"")"),"Mal interprété")</f>
        <v>Mal interprété</v>
      </c>
      <c r="D2955" s="1" t="s">
        <v>4963</v>
      </c>
    </row>
    <row r="2956" spans="1:4" ht="14.25" customHeight="1" x14ac:dyDescent="0.3">
      <c r="A2956" s="1" t="s">
        <v>3097</v>
      </c>
      <c r="B2956" s="1" t="str">
        <f ca="1">IFERROR(__xludf.DUMMYFUNCTION("GOOGLETRANSLATE(A2956, ""en"", ""fr"")"),"Mal interprétation")</f>
        <v>Mal interprétation</v>
      </c>
      <c r="D2956" s="1" t="s">
        <v>4963</v>
      </c>
    </row>
    <row r="2957" spans="1:4" ht="14.25" customHeight="1" x14ac:dyDescent="0.3">
      <c r="A2957" s="1" t="s">
        <v>3098</v>
      </c>
      <c r="B2957" s="1" t="str">
        <f ca="1">IFERROR(__xludf.DUMMYFUNCTION("GOOGLETRANSLATE(A2957, ""en"", ""fr"")"),"Méfaits")</f>
        <v>Méfaits</v>
      </c>
      <c r="D2957" s="1" t="s">
        <v>4963</v>
      </c>
    </row>
    <row r="2958" spans="1:4" ht="14.25" customHeight="1" x14ac:dyDescent="0.3">
      <c r="A2958" s="1" t="s">
        <v>3099</v>
      </c>
      <c r="B2958" s="1" t="str">
        <f ca="1">IFERROR(__xludf.DUMMYFUNCTION("GOOGLETRANSLATE(A2958, ""en"", ""fr"")"),"MAL ÉVALUER")</f>
        <v>MAL ÉVALUER</v>
      </c>
      <c r="D2958" s="1" t="s">
        <v>4963</v>
      </c>
    </row>
    <row r="2959" spans="1:4" ht="14.25" customHeight="1" x14ac:dyDescent="0.3">
      <c r="A2959" s="1" t="s">
        <v>3100</v>
      </c>
      <c r="B2959" s="1" t="str">
        <f ca="1">IFERROR(__xludf.DUMMYFUNCTION("GOOGLETRANSLATE(A2959, ""en"", ""fr"")"),"Mal jugé")</f>
        <v>Mal jugé</v>
      </c>
      <c r="D2959" s="1" t="s">
        <v>4963</v>
      </c>
    </row>
    <row r="2960" spans="1:4" ht="14.25" customHeight="1" x14ac:dyDescent="0.3">
      <c r="A2960" s="1" t="s">
        <v>3101</v>
      </c>
      <c r="B2960" s="1" t="str">
        <f ca="1">IFERROR(__xludf.DUMMYFUNCTION("GOOGLETRANSLATE(A2960, ""en"", ""fr"")"),"Mal juge")</f>
        <v>Mal juge</v>
      </c>
      <c r="D2960" s="1" t="s">
        <v>4963</v>
      </c>
    </row>
    <row r="2961" spans="1:4" ht="14.25" customHeight="1" x14ac:dyDescent="0.3">
      <c r="A2961" s="1" t="s">
        <v>3102</v>
      </c>
      <c r="B2961" s="1" t="str">
        <f ca="1">IFERROR(__xludf.DUMMYFUNCTION("GOOGLETRANSLATE(A2961, ""en"", ""fr"")"),"Mal judiciaire")</f>
        <v>Mal judiciaire</v>
      </c>
      <c r="D2961" s="1" t="s">
        <v>4963</v>
      </c>
    </row>
    <row r="2962" spans="1:4" ht="14.25" customHeight="1" x14ac:dyDescent="0.3">
      <c r="A2962" s="1" t="s">
        <v>3103</v>
      </c>
      <c r="B2962" s="1" t="str">
        <f ca="1">IFERROR(__xludf.DUMMYFUNCTION("GOOGLETRANSLATE(A2962, ""en"", ""fr"")"),"MAUVAISE ÉVALUATION")</f>
        <v>MAUVAISE ÉVALUATION</v>
      </c>
      <c r="D2962" s="1" t="s">
        <v>4963</v>
      </c>
    </row>
    <row r="2963" spans="1:4" ht="14.25" customHeight="1" x14ac:dyDescent="0.3">
      <c r="A2963" s="1" t="s">
        <v>3104</v>
      </c>
      <c r="B2963" s="1" t="str">
        <f ca="1">IFERROR(__xludf.DUMMYFUNCTION("GOOGLETRANSLATE(A2963, ""en"", ""fr"")"),"Mépris")</f>
        <v>Mépris</v>
      </c>
      <c r="D2963" s="1" t="s">
        <v>4963</v>
      </c>
    </row>
    <row r="2964" spans="1:4" ht="14.25" customHeight="1" x14ac:dyDescent="0.3">
      <c r="A2964" s="1" t="s">
        <v>3105</v>
      </c>
      <c r="B2964" s="1" t="str">
        <f ca="1">IFERROR(__xludf.DUMMYFUNCTION("GOOGLETRANSLATE(A2964, ""en"", ""fr"")"),"Erreurs erronées")</f>
        <v>Erreurs erronées</v>
      </c>
      <c r="D2964" s="1" t="s">
        <v>4963</v>
      </c>
    </row>
    <row r="2965" spans="1:4" ht="14.25" customHeight="1" x14ac:dyDescent="0.3">
      <c r="A2965" s="1" t="s">
        <v>3106</v>
      </c>
      <c r="B2965" s="1" t="str">
        <f ca="1">IFERROR(__xludf.DUMMYFUNCTION("GOOGLETRANSLATE(A2965, ""en"", ""fr"")"),"Mal étendu")</f>
        <v>Mal étendu</v>
      </c>
      <c r="D2965" s="1" t="s">
        <v>4963</v>
      </c>
    </row>
    <row r="2966" spans="1:4" ht="14.25" customHeight="1" x14ac:dyDescent="0.3">
      <c r="A2966" s="1" t="s">
        <v>3107</v>
      </c>
      <c r="B2966" s="1" t="str">
        <f ca="1">IFERROR(__xludf.DUMMYFUNCTION("GOOGLETRANSLATE(A2966, ""en"", ""fr"")"),"Erroné")</f>
        <v>Erroné</v>
      </c>
      <c r="D2966" s="1" t="s">
        <v>4963</v>
      </c>
    </row>
    <row r="2967" spans="1:4" ht="14.25" customHeight="1" x14ac:dyDescent="0.3">
      <c r="A2967" s="1" t="s">
        <v>3108</v>
      </c>
      <c r="B2967" s="1" t="str">
        <f ca="1">IFERROR(__xludf.DUMMYFUNCTION("GOOGLETRANSLATE(A2967, ""en"", ""fr"")"),"Mal étendu")</f>
        <v>Mal étendu</v>
      </c>
      <c r="D2967" s="1" t="s">
        <v>4963</v>
      </c>
    </row>
    <row r="2968" spans="1:4" ht="14.25" customHeight="1" x14ac:dyDescent="0.3">
      <c r="A2968" s="1" t="s">
        <v>3109</v>
      </c>
      <c r="B2968" s="1" t="str">
        <f ca="1">IFERROR(__xludf.DUMMYFUNCTION("GOOGLETRANSLATE(A2968, ""en"", ""fr"")"),"Élague")</f>
        <v>Élague</v>
      </c>
      <c r="D2968" s="1" t="s">
        <v>4963</v>
      </c>
    </row>
    <row r="2969" spans="1:4" ht="14.25" customHeight="1" x14ac:dyDescent="0.3">
      <c r="A2969" s="1" t="s">
        <v>3110</v>
      </c>
      <c r="B2969" s="1" t="str">
        <f ca="1">IFERROR(__xludf.DUMMYFUNCTION("GOOGLETRANSLATE(A2969, ""en"", ""fr"")"),"TROMPER")</f>
        <v>TROMPER</v>
      </c>
      <c r="D2969" s="1" t="s">
        <v>4963</v>
      </c>
    </row>
    <row r="2970" spans="1:4" ht="14.25" customHeight="1" x14ac:dyDescent="0.3">
      <c r="A2970" s="1" t="s">
        <v>3111</v>
      </c>
      <c r="B2970" s="1" t="str">
        <f ca="1">IFERROR(__xludf.DUMMYFUNCTION("GOOGLETRANSLATE(A2970, ""en"", ""fr"")"),"TROMPEUR")</f>
        <v>TROMPEUR</v>
      </c>
      <c r="D2970" s="1" t="s">
        <v>4963</v>
      </c>
    </row>
    <row r="2971" spans="1:4" ht="14.25" customHeight="1" x14ac:dyDescent="0.3">
      <c r="A2971" s="1" t="s">
        <v>3112</v>
      </c>
      <c r="B2971" s="1" t="str">
        <f ca="1">IFERROR(__xludf.DUMMYFUNCTION("GOOGLETRANSLATE(A2971, ""en"", ""fr"")"),"À tort")</f>
        <v>À tort</v>
      </c>
      <c r="D2971" s="1" t="s">
        <v>4963</v>
      </c>
    </row>
    <row r="2972" spans="1:4" ht="14.25" customHeight="1" x14ac:dyDescent="0.3">
      <c r="A2972" s="1" t="s">
        <v>3113</v>
      </c>
      <c r="B2972" s="1" t="str">
        <f ca="1">IFERROR(__xludf.DUMMYFUNCTION("GOOGLETRANSLATE(A2972, ""en"", ""fr"")"),"Tromperie")</f>
        <v>Tromperie</v>
      </c>
      <c r="D2972" s="1" t="s">
        <v>4963</v>
      </c>
    </row>
    <row r="2973" spans="1:4" ht="14.25" customHeight="1" x14ac:dyDescent="0.3">
      <c r="A2973" s="1" t="s">
        <v>3114</v>
      </c>
      <c r="B2973" s="1" t="str">
        <f ca="1">IFERROR(__xludf.DUMMYFUNCTION("GOOGLETRANSLATE(A2973, ""en"", ""fr"")"),"En erreur")</f>
        <v>En erreur</v>
      </c>
      <c r="D2973" s="1" t="s">
        <v>4963</v>
      </c>
    </row>
    <row r="2974" spans="1:4" ht="14.25" customHeight="1" x14ac:dyDescent="0.3">
      <c r="A2974" s="1" t="s">
        <v>3115</v>
      </c>
      <c r="B2974" s="1" t="str">
        <f ca="1">IFERROR(__xludf.DUMMYFUNCTION("GOOGLETRANSLATE(A2974, ""en"", ""fr"")"),"Malmanage")</f>
        <v>Malmanage</v>
      </c>
      <c r="D2974" s="1" t="s">
        <v>4963</v>
      </c>
    </row>
    <row r="2975" spans="1:4" ht="14.25" customHeight="1" x14ac:dyDescent="0.3">
      <c r="A2975" s="1" t="s">
        <v>3116</v>
      </c>
      <c r="B2975" s="1" t="str">
        <f ca="1">IFERROR(__xludf.DUMMYFUNCTION("GOOGLETRANSLATE(A2975, ""en"", ""fr"")"),"Mal géré")</f>
        <v>Mal géré</v>
      </c>
      <c r="D2975" s="1" t="s">
        <v>4963</v>
      </c>
    </row>
    <row r="2976" spans="1:4" ht="14.25" customHeight="1" x14ac:dyDescent="0.3">
      <c r="A2976" s="1" t="s">
        <v>3117</v>
      </c>
      <c r="B2976" s="1" t="str">
        <f ca="1">IFERROR(__xludf.DUMMYFUNCTION("GOOGLETRANSLATE(A2976, ""en"", ""fr"")"),"MAUVAISE GESTION")</f>
        <v>MAUVAISE GESTION</v>
      </c>
      <c r="D2976" s="1" t="s">
        <v>4963</v>
      </c>
    </row>
    <row r="2977" spans="1:4" ht="14.25" customHeight="1" x14ac:dyDescent="0.3">
      <c r="A2977" s="1" t="s">
        <v>3118</v>
      </c>
      <c r="B2977" s="1" t="str">
        <f ca="1">IFERROR(__xludf.DUMMYFUNCTION("GOOGLETRANSLATE(A2977, ""en"", ""fr"")"),"Malmanages")</f>
        <v>Malmanages</v>
      </c>
      <c r="D2977" s="1" t="s">
        <v>4963</v>
      </c>
    </row>
    <row r="2978" spans="1:4" ht="14.25" customHeight="1" x14ac:dyDescent="0.3">
      <c r="A2978" s="1" t="s">
        <v>3119</v>
      </c>
      <c r="B2978" s="1" t="str">
        <f ca="1">IFERROR(__xludf.DUMMYFUNCTION("GOOGLETRANSLATE(A2978, ""en"", ""fr"")"),"Malfiance")</f>
        <v>Malfiance</v>
      </c>
      <c r="D2978" s="1" t="s">
        <v>4963</v>
      </c>
    </row>
    <row r="2979" spans="1:4" ht="14.25" customHeight="1" x14ac:dyDescent="0.3">
      <c r="A2979" s="1" t="s">
        <v>3120</v>
      </c>
      <c r="B2979" s="1" t="str">
        <f ca="1">IFERROR(__xludf.DUMMYFUNCTION("GOOGLETRANSLATE(A2979, ""en"", ""fr"")"),"DÉCALAGE")</f>
        <v>DÉCALAGE</v>
      </c>
      <c r="D2979" s="1" t="s">
        <v>4963</v>
      </c>
    </row>
    <row r="2980" spans="1:4" ht="14.25" customHeight="1" x14ac:dyDescent="0.3">
      <c r="A2980" s="1" t="s">
        <v>3121</v>
      </c>
      <c r="B2980" s="1" t="str">
        <f ca="1">IFERROR(__xludf.DUMMYFUNCTION("GOOGLETRANSLATE(A2980, ""en"", ""fr"")"),"Incomparable")</f>
        <v>Incomparable</v>
      </c>
      <c r="D2980" s="1" t="s">
        <v>4963</v>
      </c>
    </row>
    <row r="2981" spans="1:4" ht="14.25" customHeight="1" x14ac:dyDescent="0.3">
      <c r="A2981" s="1" t="s">
        <v>3122</v>
      </c>
      <c r="B2981" s="1" t="str">
        <f ca="1">IFERROR(__xludf.DUMMYFUNCTION("GOOGLETRANSLATE(A2981, ""en"", ""fr"")"),"Décalage")</f>
        <v>Décalage</v>
      </c>
      <c r="D2981" s="1" t="s">
        <v>4963</v>
      </c>
    </row>
    <row r="2982" spans="1:4" ht="14.25" customHeight="1" x14ac:dyDescent="0.3">
      <c r="A2982" s="1" t="s">
        <v>3123</v>
      </c>
      <c r="B2982" s="1" t="str">
        <f ca="1">IFERROR(__xludf.DUMMYFUNCTION("GOOGLETRANSLATE(A2982, ""en"", ""fr"")"),"Décalage")</f>
        <v>Décalage</v>
      </c>
      <c r="D2982" s="1" t="s">
        <v>4963</v>
      </c>
    </row>
    <row r="2983" spans="1:4" ht="14.25" customHeight="1" x14ac:dyDescent="0.3">
      <c r="A2983" s="1" t="s">
        <v>3124</v>
      </c>
      <c r="B2983" s="1" t="str">
        <f ca="1">IFERROR(__xludf.DUMMYFUNCTION("GOOGLETRANSLATE(A2983, ""en"", ""fr"")"),"Mal placé")</f>
        <v>Mal placé</v>
      </c>
      <c r="D2983" s="1" t="s">
        <v>4963</v>
      </c>
    </row>
    <row r="2984" spans="1:4" ht="14.25" customHeight="1" x14ac:dyDescent="0.3">
      <c r="A2984" s="1" t="s">
        <v>3125</v>
      </c>
      <c r="B2984" s="1" t="str">
        <f ca="1">IFERROR(__xludf.DUMMYFUNCTION("GOOGLETRANSLATE(A2984, ""en"", ""fr"")"),"DÉNATURER")</f>
        <v>DÉNATURER</v>
      </c>
      <c r="D2984" s="1" t="s">
        <v>4963</v>
      </c>
    </row>
    <row r="2985" spans="1:4" ht="14.25" customHeight="1" x14ac:dyDescent="0.3">
      <c r="A2985" s="1" t="s">
        <v>3126</v>
      </c>
      <c r="B2985" s="1" t="str">
        <f ca="1">IFERROR(__xludf.DUMMYFUNCTION("GOOGLETRANSLATE(A2985, ""en"", ""fr"")"),"Fausse déclaration")</f>
        <v>Fausse déclaration</v>
      </c>
      <c r="D2985" s="1" t="s">
        <v>4963</v>
      </c>
    </row>
    <row r="2986" spans="1:4" ht="14.25" customHeight="1" x14ac:dyDescent="0.3">
      <c r="A2986" s="1" t="s">
        <v>3127</v>
      </c>
      <c r="B2986" s="1" t="str">
        <f ca="1">IFERROR(__xludf.DUMMYFUNCTION("GOOGLETRANSLATE(A2986, ""en"", ""fr"")"),"Fausses déclarations")</f>
        <v>Fausses déclarations</v>
      </c>
      <c r="D2986" s="1" t="s">
        <v>4963</v>
      </c>
    </row>
    <row r="2987" spans="1:4" ht="14.25" customHeight="1" x14ac:dyDescent="0.3">
      <c r="A2987" s="1" t="s">
        <v>3128</v>
      </c>
      <c r="B2987" s="1" t="str">
        <f ca="1">IFERROR(__xludf.DUMMYFUNCTION("GOOGLETRANSLATE(A2987, ""en"", ""fr"")"),"Déformé")</f>
        <v>Déformé</v>
      </c>
      <c r="D2987" s="1" t="s">
        <v>4963</v>
      </c>
    </row>
    <row r="2988" spans="1:4" ht="14.25" customHeight="1" x14ac:dyDescent="0.3">
      <c r="A2988" s="1" t="s">
        <v>3129</v>
      </c>
      <c r="B2988" s="1" t="str">
        <f ca="1">IFERROR(__xludf.DUMMYFUNCTION("GOOGLETRANSLATE(A2988, ""en"", ""fr"")"),"Dénaturation")</f>
        <v>Dénaturation</v>
      </c>
      <c r="D2988" s="1" t="s">
        <v>4963</v>
      </c>
    </row>
    <row r="2989" spans="1:4" ht="14.25" customHeight="1" x14ac:dyDescent="0.3">
      <c r="A2989" s="1" t="s">
        <v>3130</v>
      </c>
      <c r="B2989" s="1" t="str">
        <f ca="1">IFERROR(__xludf.DUMMYFUNCTION("GOOGLETRANSLATE(A2989, ""en"", ""fr"")"),"Fausses déclarations")</f>
        <v>Fausses déclarations</v>
      </c>
      <c r="D2989" s="1" t="s">
        <v>4963</v>
      </c>
    </row>
    <row r="2990" spans="1:4" ht="14.25" customHeight="1" x14ac:dyDescent="0.3">
      <c r="A2990" s="1" t="s">
        <v>3131</v>
      </c>
      <c r="B2990" s="1" t="str">
        <f ca="1">IFERROR(__xludf.DUMMYFUNCTION("GOOGLETRANSLATE(A2990, ""en"", ""fr"")"),"MANQUER")</f>
        <v>MANQUER</v>
      </c>
      <c r="D2990" s="1" t="s">
        <v>4963</v>
      </c>
    </row>
    <row r="2991" spans="1:4" ht="14.25" customHeight="1" x14ac:dyDescent="0.3">
      <c r="A2991" s="1" t="s">
        <v>3132</v>
      </c>
      <c r="B2991" s="1" t="str">
        <f ca="1">IFERROR(__xludf.DUMMYFUNCTION("GOOGLETRANSLATE(A2991, ""en"", ""fr"")"),"MANQUÉ")</f>
        <v>MANQUÉ</v>
      </c>
      <c r="D2991" s="1" t="s">
        <v>4963</v>
      </c>
    </row>
    <row r="2992" spans="1:4" ht="14.25" customHeight="1" x14ac:dyDescent="0.3">
      <c r="A2992" s="1" t="s">
        <v>3133</v>
      </c>
      <c r="B2992" s="1" t="str">
        <f ca="1">IFERROR(__xludf.DUMMYFUNCTION("GOOGLETRANSLATE(A2992, ""en"", ""fr"")"),"Ratés")</f>
        <v>Ratés</v>
      </c>
      <c r="D2992" s="1" t="s">
        <v>4963</v>
      </c>
    </row>
    <row r="2993" spans="1:4" ht="14.25" customHeight="1" x14ac:dyDescent="0.3">
      <c r="A2993" s="1" t="s">
        <v>3134</v>
      </c>
      <c r="B2993" s="1" t="str">
        <f ca="1">IFERROR(__xludf.DUMMYFUNCTION("GOOGLETRANSLATE(A2993, ""en"", ""fr"")"),"Dénoncer")</f>
        <v>Dénoncer</v>
      </c>
      <c r="D2993" s="1" t="s">
        <v>4963</v>
      </c>
    </row>
    <row r="2994" spans="1:4" ht="14.25" customHeight="1" x14ac:dyDescent="0.3">
      <c r="A2994" s="1" t="s">
        <v>3135</v>
      </c>
      <c r="B2994" s="1" t="str">
        <f ca="1">IFERROR(__xludf.DUMMYFUNCTION("GOOGLETRANSLATE(A2994, ""en"", ""fr"")"),"Inauguré")</f>
        <v>Inauguré</v>
      </c>
      <c r="D2994" s="1" t="s">
        <v>4963</v>
      </c>
    </row>
    <row r="2995" spans="1:4" ht="14.25" customHeight="1" x14ac:dyDescent="0.3">
      <c r="A2995" s="1" t="s">
        <v>3136</v>
      </c>
      <c r="B2995" s="1" t="str">
        <f ca="1">IFERROR(__xludf.DUMMYFUNCTION("GOOGLETRANSLATE(A2995, ""en"", ""fr"")"),"DÉCLARATION INEXACTE")</f>
        <v>DÉCLARATION INEXACTE</v>
      </c>
      <c r="D2995" s="1" t="s">
        <v>4963</v>
      </c>
    </row>
    <row r="2996" spans="1:4" ht="14.25" customHeight="1" x14ac:dyDescent="0.3">
      <c r="A2996" s="1" t="s">
        <v>3137</v>
      </c>
      <c r="B2996" s="1" t="str">
        <f ca="1">IFERROR(__xludf.DUMMYFUNCTION("GOOGLETRANSLATE(A2996, ""en"", ""fr"")"),"Anomalies")</f>
        <v>Anomalies</v>
      </c>
      <c r="D2996" s="1" t="s">
        <v>4963</v>
      </c>
    </row>
    <row r="2997" spans="1:4" ht="14.25" customHeight="1" x14ac:dyDescent="0.3">
      <c r="A2997" s="1" t="s">
        <v>3138</v>
      </c>
      <c r="B2997" s="1" t="str">
        <f ca="1">IFERROR(__xludf.DUMMYFUNCTION("GOOGLETRANSLATE(A2997, ""en"", ""fr"")"),"Déchaîner")</f>
        <v>Déchaîner</v>
      </c>
      <c r="D2997" s="1" t="s">
        <v>4963</v>
      </c>
    </row>
    <row r="2998" spans="1:4" ht="14.25" customHeight="1" x14ac:dyDescent="0.3">
      <c r="A2998" s="1" t="s">
        <v>3139</v>
      </c>
      <c r="B2998" s="1" t="str">
        <f ca="1">IFERROR(__xludf.DUMMYFUNCTION("GOOGLETRANSLATE(A2998, ""en"", ""fr"")"),"Désagrément")</f>
        <v>Désagrément</v>
      </c>
      <c r="D2998" s="1" t="s">
        <v>4963</v>
      </c>
    </row>
    <row r="2999" spans="1:4" ht="14.25" customHeight="1" x14ac:dyDescent="0.3">
      <c r="A2999" s="1" t="s">
        <v>3140</v>
      </c>
      <c r="B2999" s="1" t="str">
        <f ca="1">IFERROR(__xludf.DUMMYFUNCTION("GOOGLETRANSLATE(A2999, ""en"", ""fr"")"),"Tromper")</f>
        <v>Tromper</v>
      </c>
      <c r="D2999" s="1" t="s">
        <v>4963</v>
      </c>
    </row>
    <row r="3000" spans="1:4" ht="14.25" customHeight="1" x14ac:dyDescent="0.3">
      <c r="A3000" s="1" t="s">
        <v>3141</v>
      </c>
      <c r="B3000" s="1" t="str">
        <f ca="1">IFERROR(__xludf.DUMMYFUNCTION("GOOGLETRANSLATE(A3000, ""en"", ""fr"")"),"Faux pas")</f>
        <v>Faux pas</v>
      </c>
      <c r="D3000" s="1" t="s">
        <v>4963</v>
      </c>
    </row>
    <row r="3001" spans="1:4" ht="14.25" customHeight="1" x14ac:dyDescent="0.3">
      <c r="A3001" s="1" t="s">
        <v>3142</v>
      </c>
      <c r="B3001" s="1" t="str">
        <f ca="1">IFERROR(__xludf.DUMMYFUNCTION("GOOGLETRANSLATE(A3001, ""en"", ""fr"")"),"ERREUR")</f>
        <v>ERREUR</v>
      </c>
      <c r="D3001" s="1" t="s">
        <v>4963</v>
      </c>
    </row>
    <row r="3002" spans="1:4" ht="14.25" customHeight="1" x14ac:dyDescent="0.3">
      <c r="A3002" s="1" t="s">
        <v>3143</v>
      </c>
      <c r="B3002" s="1" t="str">
        <f ca="1">IFERROR(__xludf.DUMMYFUNCTION("GOOGLETRANSLATE(A3002, ""en"", ""fr"")"),"Se tromper")</f>
        <v>Se tromper</v>
      </c>
      <c r="D3002" s="1" t="s">
        <v>4963</v>
      </c>
    </row>
    <row r="3003" spans="1:4" ht="14.25" customHeight="1" x14ac:dyDescent="0.3">
      <c r="A3003" s="1" t="s">
        <v>3144</v>
      </c>
      <c r="B3003" s="1" t="str">
        <f ca="1">IFERROR(__xludf.DUMMYFUNCTION("GOOGLETRANSLATE(A3003, ""en"", ""fr"")"),"PAR ERREUR")</f>
        <v>PAR ERREUR</v>
      </c>
      <c r="D3003" s="1" t="s">
        <v>4963</v>
      </c>
    </row>
    <row r="3004" spans="1:4" ht="14.25" customHeight="1" x14ac:dyDescent="0.3">
      <c r="A3004" s="1" t="s">
        <v>3145</v>
      </c>
      <c r="B3004" s="1" t="str">
        <f ca="1">IFERROR(__xludf.DUMMYFUNCTION("GOOGLETRANSLATE(A3004, ""en"", ""fr"")"),"Erreurs")</f>
        <v>Erreurs</v>
      </c>
      <c r="D3004" s="1" t="s">
        <v>4963</v>
      </c>
    </row>
    <row r="3005" spans="1:4" ht="14.25" customHeight="1" x14ac:dyDescent="0.3">
      <c r="A3005" s="1" t="s">
        <v>3146</v>
      </c>
      <c r="B3005" s="1" t="str">
        <f ca="1">IFERROR(__xludf.DUMMYFUNCTION("GOOGLETRANSLATE(A3005, ""en"", ""fr"")"),"Enracinement")</f>
        <v>Enracinement</v>
      </c>
      <c r="D3005" s="1" t="s">
        <v>4963</v>
      </c>
    </row>
    <row r="3006" spans="1:4" ht="14.25" customHeight="1" x14ac:dyDescent="0.3">
      <c r="A3006" s="1" t="s">
        <v>3147</v>
      </c>
      <c r="B3006" s="1" t="str">
        <f ca="1">IFERROR(__xludf.DUMMYFUNCTION("GOOGLETRANSLATE(A3006, ""en"", ""fr"")"),"Procès")</f>
        <v>Procès</v>
      </c>
      <c r="D3006" s="1" t="s">
        <v>4963</v>
      </c>
    </row>
    <row r="3007" spans="1:4" ht="14.25" customHeight="1" x14ac:dyDescent="0.3">
      <c r="A3007" s="1" t="s">
        <v>3148</v>
      </c>
      <c r="B3007" s="1" t="str">
        <f ca="1">IFERROR(__xludf.DUMMYFUNCTION("GOOGLETRANSLATE(A3007, ""en"", ""fr"")"),"Procès")</f>
        <v>Procès</v>
      </c>
      <c r="D3007" s="1" t="s">
        <v>4963</v>
      </c>
    </row>
    <row r="3008" spans="1:4" ht="14.25" customHeight="1" x14ac:dyDescent="0.3">
      <c r="A3008" s="1" t="s">
        <v>3149</v>
      </c>
      <c r="B3008" s="1" t="str">
        <f ca="1">IFERROR(__xludf.DUMMYFUNCTION("GOOGLETRANSLATE(A3008, ""en"", ""fr"")"),"MAL COMPRENDRE")</f>
        <v>MAL COMPRENDRE</v>
      </c>
      <c r="D3008" s="1" t="s">
        <v>4963</v>
      </c>
    </row>
    <row r="3009" spans="1:138" ht="14.25" customHeight="1" x14ac:dyDescent="0.3">
      <c r="A3009" s="1" t="s">
        <v>3150</v>
      </c>
      <c r="B3009" s="1" t="str">
        <f ca="1">IFERROR(__xludf.DUMMYFUNCTION("GOOGLETRANSLATE(A3009, ""en"", ""fr"")"),"MALENTENDU")</f>
        <v>MALENTENDU</v>
      </c>
      <c r="D3009" s="1" t="s">
        <v>4963</v>
      </c>
    </row>
    <row r="3010" spans="1:138" ht="14.25" customHeight="1" x14ac:dyDescent="0.3">
      <c r="A3010" s="1" t="s">
        <v>3151</v>
      </c>
      <c r="B3010" s="1" t="str">
        <f ca="1">IFERROR(__xludf.DUMMYFUNCTION("GOOGLETRANSLATE(A3010, ""en"", ""fr"")"),"Malentendus")</f>
        <v>Malentendus</v>
      </c>
      <c r="D3010" s="1" t="s">
        <v>4963</v>
      </c>
    </row>
    <row r="3011" spans="1:138" ht="14.25" customHeight="1" x14ac:dyDescent="0.3">
      <c r="A3011" s="1" t="s">
        <v>3152</v>
      </c>
      <c r="B3011" s="1" t="str">
        <f ca="1">IFERROR(__xludf.DUMMYFUNCTION("GOOGLETRANSLATE(A3011, ""en"", ""fr"")"),"MAL COMPRIS")</f>
        <v>MAL COMPRIS</v>
      </c>
      <c r="D3011" s="1" t="s">
        <v>4963</v>
      </c>
    </row>
    <row r="3012" spans="1:138" ht="14.25" customHeight="1" x14ac:dyDescent="0.3">
      <c r="A3012" s="1" t="s">
        <v>3153</v>
      </c>
      <c r="B3012" s="1" t="str">
        <f ca="1">IFERROR(__xludf.DUMMYFUNCTION("GOOGLETRANSLATE(A3012, ""en"", ""fr"")"),"ABUSER")</f>
        <v>ABUSER</v>
      </c>
      <c r="D3012" s="1" t="s">
        <v>4963</v>
      </c>
    </row>
    <row r="3013" spans="1:138" ht="14.25" customHeight="1" x14ac:dyDescent="0.3">
      <c r="A3013" s="1" t="s">
        <v>3154</v>
      </c>
      <c r="B3013" s="1" t="str">
        <f ca="1">IFERROR(__xludf.DUMMYFUNCTION("GOOGLETRANSLATE(A3013, ""en"", ""fr"")"),"Mal utilisé")</f>
        <v>Mal utilisé</v>
      </c>
      <c r="D3013" s="1" t="s">
        <v>4963</v>
      </c>
    </row>
    <row r="3014" spans="1:138" ht="14.25" customHeight="1" x14ac:dyDescent="0.3">
      <c r="A3014" s="1" t="s">
        <v>3155</v>
      </c>
      <c r="B3014" s="1" t="str">
        <f ca="1">IFERROR(__xludf.DUMMYFUNCTION("GOOGLETRANSLATE(A3014, ""en"", ""fr"")"),"Malsences")</f>
        <v>Malsences</v>
      </c>
      <c r="D3014" s="1" t="s">
        <v>4963</v>
      </c>
    </row>
    <row r="3015" spans="1:138" ht="14.25" customHeight="1" x14ac:dyDescent="0.3">
      <c r="A3015" s="1" t="s">
        <v>3156</v>
      </c>
      <c r="B3015" s="1" t="str">
        <f ca="1">IFERROR(__xludf.DUMMYFUNCTION("GOOGLETRANSLATE(A3015, ""en"", ""fr"")"),"Abondant")</f>
        <v>Abondant</v>
      </c>
      <c r="D3015" s="1" t="s">
        <v>4963</v>
      </c>
    </row>
    <row r="3016" spans="1:138" ht="14.25" customHeight="1" x14ac:dyDescent="0.3">
      <c r="A3016" s="1" t="s">
        <v>3157</v>
      </c>
      <c r="B3016" s="1" t="str">
        <f ca="1">IFERROR(__xludf.DUMMYFUNCTION("GOOGLETRANSLATE(A3016, ""en"", ""fr"")"),"Mélange mixte doux")</f>
        <v>Mélange mixte doux</v>
      </c>
      <c r="R3016" s="1" t="s">
        <v>15</v>
      </c>
      <c r="CS3016" s="1" t="s">
        <v>94</v>
      </c>
    </row>
    <row r="3017" spans="1:138" ht="14.25" customHeight="1" x14ac:dyDescent="0.3">
      <c r="A3017" s="1" t="s">
        <v>3158</v>
      </c>
      <c r="B3017" s="1" t="str">
        <f ca="1">IFERROR(__xludf.DUMMYFUNCTION("GOOGLETRANSLATE(A3017, ""en"", ""fr"")"),"économie mixte")</f>
        <v>économie mixte</v>
      </c>
      <c r="M3017" s="1" t="s">
        <v>10</v>
      </c>
    </row>
    <row r="3018" spans="1:138" ht="14.25" customHeight="1" x14ac:dyDescent="0.3">
      <c r="A3018" s="1" t="s">
        <v>3159</v>
      </c>
      <c r="B3018" s="1" t="str">
        <f ca="1">IFERROR(__xludf.DUMMYFUNCTION("GOOGLETRANSLATE(A3018, ""en"", ""fr"")"),"MMBTU")</f>
        <v>MMBTU</v>
      </c>
      <c r="EH3018" s="1" t="s">
        <v>135</v>
      </c>
    </row>
    <row r="3019" spans="1:138" ht="14.25" customHeight="1" x14ac:dyDescent="0.3">
      <c r="A3019" s="1" t="s">
        <v>3160</v>
      </c>
      <c r="B3019" s="1" t="str">
        <f ca="1">IFERROR(__xludf.DUMMYFUNCTION("GOOGLETRANSLATE(A3019, ""en"", ""fr"")"),"mobil")</f>
        <v>mobil</v>
      </c>
      <c r="BC3019" s="1" t="s">
        <v>52</v>
      </c>
      <c r="DT3019" s="1" t="s">
        <v>121</v>
      </c>
    </row>
    <row r="3020" spans="1:138" ht="14.25" customHeight="1" x14ac:dyDescent="0.3">
      <c r="A3020" s="1" t="s">
        <v>3161</v>
      </c>
      <c r="B3020" s="1" t="str">
        <f ca="1">IFERROR(__xludf.DUMMYFUNCTION("GOOGLETRANSLATE(A3020, ""en"", ""fr"")"),"Testeur de dynamique de formation modulaire")</f>
        <v>Testeur de dynamique de formation modulaire</v>
      </c>
      <c r="AY3020" s="1" t="s">
        <v>48</v>
      </c>
    </row>
    <row r="3021" spans="1:138" ht="14.25" customHeight="1" x14ac:dyDescent="0.3">
      <c r="A3021" s="1" t="s">
        <v>3162</v>
      </c>
      <c r="B3021" s="1" t="str">
        <f ca="1">IFERROR(__xludf.DUMMYFUNCTION("GOOGLETRANSLATE(A3021, ""en"", ""fr"")"),"Module")</f>
        <v>Module</v>
      </c>
      <c r="E3021" s="1" t="s">
        <v>3</v>
      </c>
    </row>
    <row r="3022" spans="1:138" ht="14.25" customHeight="1" x14ac:dyDescent="0.3">
      <c r="A3022" s="1" t="s">
        <v>3163</v>
      </c>
      <c r="B3022" s="1" t="str">
        <f ca="1">IFERROR(__xludf.DUMMYFUNCTION("GOOGLETRANSLATE(A3022, ""en"", ""fr"")"),"Mondo")</f>
        <v>Mondo</v>
      </c>
      <c r="R3022" s="1" t="s">
        <v>15</v>
      </c>
      <c r="CS3022" s="1" t="s">
        <v>94</v>
      </c>
    </row>
    <row r="3023" spans="1:138" ht="14.25" customHeight="1" x14ac:dyDescent="0.3">
      <c r="A3023" s="1" t="s">
        <v>3164</v>
      </c>
      <c r="B3023" s="1" t="str">
        <f ca="1">IFERROR(__xludf.DUMMYFUNCTION("GOOGLETRANSLATE(A3023, ""en"", ""fr"")"),"monétariste")</f>
        <v>monétariste</v>
      </c>
      <c r="M3023" s="1" t="s">
        <v>10</v>
      </c>
    </row>
    <row r="3024" spans="1:138" ht="14.25" customHeight="1" x14ac:dyDescent="0.3">
      <c r="A3024" s="1" t="s">
        <v>3165</v>
      </c>
      <c r="B3024" s="1" t="str">
        <f ca="1">IFERROR(__xludf.DUMMYFUNCTION("GOOGLETRANSLATE(A3024, ""en"", ""fr"")"),"indicateur monétaire")</f>
        <v>indicateur monétaire</v>
      </c>
      <c r="M3024" s="1" t="s">
        <v>10</v>
      </c>
    </row>
    <row r="3025" spans="1:13" ht="14.25" customHeight="1" x14ac:dyDescent="0.3">
      <c r="A3025" s="1" t="s">
        <v>3166</v>
      </c>
      <c r="B3025" s="1" t="str">
        <f ca="1">IFERROR(__xludf.DUMMYFUNCTION("GOOGLETRANSLATE(A3025, ""en"", ""fr"")"),"politique monétaire")</f>
        <v>politique monétaire</v>
      </c>
      <c r="M3025" s="1" t="s">
        <v>10</v>
      </c>
    </row>
    <row r="3026" spans="1:13" ht="14.25" customHeight="1" x14ac:dyDescent="0.3">
      <c r="A3026" s="1" t="s">
        <v>3167</v>
      </c>
      <c r="B3026" s="1" t="str">
        <f ca="1">IFERROR(__xludf.DUMMYFUNCTION("GOOGLETRANSLATE(A3026, ""en"", ""fr"")"),"comité de politique monétaire")</f>
        <v>comité de politique monétaire</v>
      </c>
      <c r="M3026" s="1" t="s">
        <v>10</v>
      </c>
    </row>
    <row r="3027" spans="1:13" ht="14.25" customHeight="1" x14ac:dyDescent="0.3">
      <c r="A3027" s="1" t="s">
        <v>3168</v>
      </c>
      <c r="B3027" s="1" t="str">
        <f ca="1">IFERROR(__xludf.DUMMYFUNCTION("GOOGLETRANSLATE(A3027, ""en"", ""fr"")"),"valeur monétaire")</f>
        <v>valeur monétaire</v>
      </c>
      <c r="M3027" s="1" t="s">
        <v>10</v>
      </c>
    </row>
    <row r="3028" spans="1:13" ht="14.25" customHeight="1" x14ac:dyDescent="0.3">
      <c r="A3028" s="1" t="s">
        <v>3169</v>
      </c>
      <c r="B3028" s="1" t="str">
        <f ca="1">IFERROR(__xludf.DUMMYFUNCTION("GOOGLETRANSLATE(A3028, ""en"", ""fr"")"),"monétiser")</f>
        <v>monétiser</v>
      </c>
      <c r="M3028" s="1" t="s">
        <v>10</v>
      </c>
    </row>
    <row r="3029" spans="1:13" ht="14.25" customHeight="1" x14ac:dyDescent="0.3">
      <c r="A3029" s="1" t="s">
        <v>3170</v>
      </c>
      <c r="B3029" s="1" t="str">
        <f ca="1">IFERROR(__xludf.DUMMYFUNCTION("GOOGLETRANSLATE(A3029, ""en"", ""fr"")"),"monétiser la dette")</f>
        <v>monétiser la dette</v>
      </c>
      <c r="M3029" s="1" t="s">
        <v>10</v>
      </c>
    </row>
    <row r="3030" spans="1:13" ht="14.25" customHeight="1" x14ac:dyDescent="0.3">
      <c r="A3030" s="1" t="s">
        <v>3171</v>
      </c>
      <c r="B3030" s="1" t="str">
        <f ca="1">IFERROR(__xludf.DUMMYFUNCTION("GOOGLETRANSLATE(A3030, ""en"", ""fr"")"),"Installation de financement des investisseurs sur le marché monétaire")</f>
        <v>Installation de financement des investisseurs sur le marché monétaire</v>
      </c>
      <c r="M3030" s="1" t="s">
        <v>10</v>
      </c>
    </row>
    <row r="3031" spans="1:13" ht="14.25" customHeight="1" x14ac:dyDescent="0.3">
      <c r="A3031" s="1" t="s">
        <v>3172</v>
      </c>
      <c r="B3031" s="1" t="str">
        <f ca="1">IFERROR(__xludf.DUMMYFUNCTION("GOOGLETRANSLATE(A3031, ""en"", ""fr"")"),"rentrée d'argent")</f>
        <v>rentrée d'argent</v>
      </c>
      <c r="M3031" s="1" t="s">
        <v>10</v>
      </c>
    </row>
    <row r="3032" spans="1:13" ht="14.25" customHeight="1" x14ac:dyDescent="0.3">
      <c r="A3032" s="1" t="s">
        <v>3173</v>
      </c>
      <c r="B3032" s="1" t="str">
        <f ca="1">IFERROR(__xludf.DUMMYFUNCTION("GOOGLETRANSLATE(A3032, ""en"", ""fr"")"),"Monopolistique")</f>
        <v>Monopolistique</v>
      </c>
      <c r="D3032" s="1" t="s">
        <v>4963</v>
      </c>
    </row>
    <row r="3033" spans="1:13" ht="14.25" customHeight="1" x14ac:dyDescent="0.3">
      <c r="A3033" s="1" t="s">
        <v>3174</v>
      </c>
      <c r="B3033" s="1" t="str">
        <f ca="1">IFERROR(__xludf.DUMMYFUNCTION("GOOGLETRANSLATE(A3033, ""en"", ""fr"")"),"concurrence monopolistique")</f>
        <v>concurrence monopolistique</v>
      </c>
      <c r="M3033" s="1" t="s">
        <v>10</v>
      </c>
    </row>
    <row r="3034" spans="1:13" ht="14.25" customHeight="1" x14ac:dyDescent="0.3">
      <c r="A3034" s="1" t="s">
        <v>3175</v>
      </c>
      <c r="B3034" s="1" t="str">
        <f ca="1">IFERROR(__xludf.DUMMYFUNCTION("GOOGLETRANSLATE(A3034, ""en"", ""fr"")"),"Monopolistes")</f>
        <v>Monopolistes</v>
      </c>
      <c r="D3034" s="1" t="s">
        <v>4963</v>
      </c>
    </row>
    <row r="3035" spans="1:13" ht="14.25" customHeight="1" x14ac:dyDescent="0.3">
      <c r="A3035" s="1" t="s">
        <v>3176</v>
      </c>
      <c r="B3035" s="1" t="str">
        <f ca="1">IFERROR(__xludf.DUMMYFUNCTION("GOOGLETRANSLATE(A3035, ""en"", ""fr"")"),"Monopolisation")</f>
        <v>Monopolisation</v>
      </c>
      <c r="D3035" s="1" t="s">
        <v>4963</v>
      </c>
    </row>
    <row r="3036" spans="1:13" ht="14.25" customHeight="1" x14ac:dyDescent="0.3">
      <c r="A3036" s="1" t="s">
        <v>3177</v>
      </c>
      <c r="B3036" s="1" t="str">
        <f ca="1">IFERROR(__xludf.DUMMYFUNCTION("GOOGLETRANSLATE(A3036, ""en"", ""fr"")"),"MONOPOLISER")</f>
        <v>MONOPOLISER</v>
      </c>
      <c r="D3036" s="1" t="s">
        <v>4963</v>
      </c>
    </row>
    <row r="3037" spans="1:13" ht="14.25" customHeight="1" x14ac:dyDescent="0.3">
      <c r="A3037" s="1" t="s">
        <v>3178</v>
      </c>
      <c r="B3037" s="1" t="str">
        <f ca="1">IFERROR(__xludf.DUMMYFUNCTION("GOOGLETRANSLATE(A3037, ""en"", ""fr"")"),"Monopolisé")</f>
        <v>Monopolisé</v>
      </c>
      <c r="D3037" s="1" t="s">
        <v>4963</v>
      </c>
    </row>
    <row r="3038" spans="1:13" ht="14.25" customHeight="1" x14ac:dyDescent="0.3">
      <c r="A3038" s="1" t="s">
        <v>3179</v>
      </c>
      <c r="B3038" s="1" t="str">
        <f ca="1">IFERROR(__xludf.DUMMYFUNCTION("GOOGLETRANSLATE(A3038, ""en"", ""fr"")"),"Monopolise")</f>
        <v>Monopolise</v>
      </c>
      <c r="D3038" s="1" t="s">
        <v>4963</v>
      </c>
    </row>
    <row r="3039" spans="1:13" ht="14.25" customHeight="1" x14ac:dyDescent="0.3">
      <c r="A3039" s="1" t="s">
        <v>3180</v>
      </c>
      <c r="B3039" s="1" t="str">
        <f ca="1">IFERROR(__xludf.DUMMYFUNCTION("GOOGLETRANSLATE(A3039, ""en"", ""fr"")"),"Monopolisant")</f>
        <v>Monopolisant</v>
      </c>
      <c r="D3039" s="1" t="s">
        <v>4963</v>
      </c>
    </row>
    <row r="3040" spans="1:13" ht="14.25" customHeight="1" x14ac:dyDescent="0.3">
      <c r="A3040" s="1" t="s">
        <v>3181</v>
      </c>
      <c r="B3040" s="1" t="str">
        <f ca="1">IFERROR(__xludf.DUMMYFUNCTION("GOOGLETRANSLATE(A3040, ""en"", ""fr"")"),"monopole")</f>
        <v>monopole</v>
      </c>
      <c r="M3040" s="1" t="s">
        <v>10</v>
      </c>
    </row>
    <row r="3041" spans="1:96" ht="14.25" customHeight="1" x14ac:dyDescent="0.3">
      <c r="A3041" s="1" t="s">
        <v>3182</v>
      </c>
      <c r="B3041" s="1" t="str">
        <f ca="1">IFERROR(__xludf.DUMMYFUNCTION("GOOGLETRANSLATE(A3041, ""en"", ""fr"")"),"monopsone")</f>
        <v>monopsone</v>
      </c>
      <c r="M3041" s="1" t="s">
        <v>10</v>
      </c>
    </row>
    <row r="3042" spans="1:96" ht="14.25" customHeight="1" x14ac:dyDescent="0.3">
      <c r="A3042" s="1" t="s">
        <v>3183</v>
      </c>
      <c r="B3042" s="1" t="str">
        <f ca="1">IFERROR(__xludf.DUMMYFUNCTION("GOOGLETRANSLATE(A3042, ""en"", ""fr"")"),"Moratoire")</f>
        <v>Moratoire</v>
      </c>
      <c r="D3042" s="1" t="s">
        <v>4963</v>
      </c>
    </row>
    <row r="3043" spans="1:96" ht="14.25" customHeight="1" x14ac:dyDescent="0.3">
      <c r="A3043" s="1" t="s">
        <v>3184</v>
      </c>
      <c r="B3043" s="1" t="str">
        <f ca="1">IFERROR(__xludf.DUMMYFUNCTION("GOOGLETRANSLATE(A3043, ""en"", ""fr"")"),"Moratoire")</f>
        <v>Moratoire</v>
      </c>
      <c r="D3043" s="1" t="s">
        <v>4963</v>
      </c>
    </row>
    <row r="3044" spans="1:96" ht="14.25" customHeight="1" x14ac:dyDescent="0.3">
      <c r="A3044" s="1" t="s">
        <v>3185</v>
      </c>
      <c r="B3044" s="1" t="str">
        <f ca="1">IFERROR(__xludf.DUMMYFUNCTION("GOOGLETRANSLATE(A3044, ""en"", ""fr"")"),"Moratoires")</f>
        <v>Moratoires</v>
      </c>
      <c r="D3044" s="1" t="s">
        <v>4963</v>
      </c>
    </row>
    <row r="3045" spans="1:96" ht="14.25" customHeight="1" x14ac:dyDescent="0.3">
      <c r="A3045" s="1" t="s">
        <v>3186</v>
      </c>
      <c r="B3045" s="1" t="str">
        <f ca="1">IFERROR(__xludf.DUMMYFUNCTION("GOOGLETRANSLATE(A3045, ""en"", ""fr"")"),"plus")</f>
        <v>plus</v>
      </c>
      <c r="J3045" s="1" t="s">
        <v>7</v>
      </c>
    </row>
    <row r="3046" spans="1:96" ht="14.25" customHeight="1" x14ac:dyDescent="0.3">
      <c r="A3046" s="1" t="s">
        <v>3187</v>
      </c>
      <c r="B3046" s="1" t="str">
        <f ca="1">IFERROR(__xludf.DUMMYFUNCTION("GOOGLETRANSLATE(A3046, ""en"", ""fr"")"),"hypothèque")</f>
        <v>hypothèque</v>
      </c>
      <c r="CR3046" s="1" t="s">
        <v>93</v>
      </c>
    </row>
    <row r="3047" spans="1:96" ht="14.25" customHeight="1" x14ac:dyDescent="0.3">
      <c r="A3047" s="1" t="s">
        <v>3188</v>
      </c>
      <c r="B3047" s="1" t="str">
        <f ca="1">IFERROR(__xludf.DUMMYFUNCTION("GOOGLETRANSLATE(A3047, ""en"", ""fr"")"),"la plupart")</f>
        <v>la plupart</v>
      </c>
      <c r="J3047" s="1" t="s">
        <v>7</v>
      </c>
    </row>
    <row r="3048" spans="1:96" ht="14.25" customHeight="1" x14ac:dyDescent="0.3">
      <c r="A3048" s="1" t="s">
        <v>3189</v>
      </c>
      <c r="B3048" s="1" t="str">
        <f ca="1">IFERROR(__xludf.DUMMYFUNCTION("GOOGLETRANSLATE(A3048, ""en"", ""fr"")"),"Bouchée")</f>
        <v>Bouchée</v>
      </c>
      <c r="D3048" s="1" t="s">
        <v>4963</v>
      </c>
    </row>
    <row r="3049" spans="1:96" ht="14.25" customHeight="1" x14ac:dyDescent="0.3">
      <c r="A3049" s="1" t="s">
        <v>3190</v>
      </c>
      <c r="B3049" s="1" t="str">
        <f ca="1">IFERROR(__xludf.DUMMYFUNCTION("GOOGLETRANSLATE(A3049, ""en"", ""fr"")"),"Bouchée")</f>
        <v>Bouchée</v>
      </c>
      <c r="D3049" s="1" t="s">
        <v>4963</v>
      </c>
    </row>
    <row r="3050" spans="1:96" ht="14.25" customHeight="1" x14ac:dyDescent="0.3">
      <c r="A3050" s="1" t="s">
        <v>3191</v>
      </c>
      <c r="B3050" s="1" t="str">
        <f ca="1">IFERROR(__xludf.DUMMYFUNCTION("GOOGLETRANSLATE(A3050, ""en"", ""fr"")"),"Index des marchés émergents MSCI")</f>
        <v>Index des marchés émergents MSCI</v>
      </c>
      <c r="M3050" s="1" t="s">
        <v>10</v>
      </c>
    </row>
    <row r="3051" spans="1:96" ht="14.25" customHeight="1" x14ac:dyDescent="0.3">
      <c r="A3051" s="1" t="s">
        <v>3192</v>
      </c>
      <c r="B3051" s="1" t="str">
        <f ca="1">IFERROR(__xludf.DUMMYFUNCTION("GOOGLETRANSLATE(A3051, ""en"", ""fr"")"),"beaucoup")</f>
        <v>beaucoup</v>
      </c>
      <c r="J3051" s="1" t="s">
        <v>7</v>
      </c>
    </row>
    <row r="3052" spans="1:96" ht="14.25" customHeight="1" x14ac:dyDescent="0.3">
      <c r="A3052" s="1" t="s">
        <v>3193</v>
      </c>
      <c r="B3052" s="1" t="str">
        <f ca="1">IFERROR(__xludf.DUMMYFUNCTION("GOOGLETRANSLATE(A3052, ""en"", ""fr"")"),"Boue")</f>
        <v>Boue</v>
      </c>
      <c r="E3052" s="1" t="s">
        <v>3</v>
      </c>
    </row>
    <row r="3053" spans="1:96" ht="14.25" customHeight="1" x14ac:dyDescent="0.3">
      <c r="A3053" s="1" t="s">
        <v>3194</v>
      </c>
      <c r="B3053" s="1" t="str">
        <f ca="1">IFERROR(__xludf.DUMMYFUNCTION("GOOGLETRANSLATE(A3053, ""en"", ""fr"")"),"Huile multigrade")</f>
        <v>Huile multigrade</v>
      </c>
      <c r="E3053" s="1" t="s">
        <v>3</v>
      </c>
    </row>
    <row r="3054" spans="1:96" ht="14.25" customHeight="1" x14ac:dyDescent="0.3">
      <c r="A3054" s="1" t="s">
        <v>3195</v>
      </c>
      <c r="B3054" s="1" t="str">
        <f ca="1">IFERROR(__xludf.DUMMYFUNCTION("GOOGLETRANSLATE(A3054, ""en"", ""fr"")"),"Puits multilatéraux")</f>
        <v>Puits multilatéraux</v>
      </c>
      <c r="E3054" s="1" t="s">
        <v>3</v>
      </c>
    </row>
    <row r="3055" spans="1:96" ht="14.25" customHeight="1" x14ac:dyDescent="0.3">
      <c r="A3055" s="1" t="s">
        <v>3196</v>
      </c>
      <c r="B3055" s="1" t="str">
        <f ca="1">IFERROR(__xludf.DUMMYFUNCTION("GOOGLETRANSLATE(A3055, ""en"", ""fr"")"),"multiplicateur")</f>
        <v>multiplicateur</v>
      </c>
      <c r="M3055" s="1" t="s">
        <v>10</v>
      </c>
    </row>
    <row r="3056" spans="1:96" ht="14.25" customHeight="1" x14ac:dyDescent="0.3">
      <c r="A3056" s="1" t="s">
        <v>3197</v>
      </c>
      <c r="B3056" s="1" t="str">
        <f ca="1">IFERROR(__xludf.DUMMYFUNCTION("GOOGLETRANSLATE(A3056, ""en"", ""fr"")"),"effet multiplicateur")</f>
        <v>effet multiplicateur</v>
      </c>
      <c r="M3056" s="1" t="s">
        <v>10</v>
      </c>
    </row>
    <row r="3057" spans="1:112" ht="14.25" customHeight="1" x14ac:dyDescent="0.3">
      <c r="A3057" s="1" t="s">
        <v>3198</v>
      </c>
      <c r="B3057" s="1" t="str">
        <f ca="1">IFERROR(__xludf.DUMMYFUNCTION("GOOGLETRANSLATE(A3057, ""en"", ""fr"")"),"Conseil de réglementation des valeurs mobilières municipales")</f>
        <v>Conseil de réglementation des valeurs mobilières municipales</v>
      </c>
      <c r="M3057" s="1" t="s">
        <v>10</v>
      </c>
    </row>
    <row r="3058" spans="1:112" ht="14.25" customHeight="1" x14ac:dyDescent="0.3">
      <c r="A3058" s="1" t="s">
        <v>3199</v>
      </c>
      <c r="B3058" s="1" t="str">
        <f ca="1">IFERROR(__xludf.DUMMYFUNCTION("GOOGLETRANSLATE(A3058, ""en"", ""fr"")"),"Murban")</f>
        <v>Murban</v>
      </c>
      <c r="R3058" s="1" t="s">
        <v>15</v>
      </c>
      <c r="CS3058" s="1" t="s">
        <v>94</v>
      </c>
    </row>
    <row r="3059" spans="1:112" ht="14.25" customHeight="1" x14ac:dyDescent="0.3">
      <c r="A3059" s="1" t="s">
        <v>3200</v>
      </c>
      <c r="B3059" s="1" t="str">
        <f ca="1">IFERROR(__xludf.DUMMYFUNCTION("GOOGLETRANSLATE(A3059, ""en"", ""fr"")"),"doit")</f>
        <v>doit</v>
      </c>
      <c r="J3059" s="1" t="s">
        <v>7</v>
      </c>
    </row>
    <row r="3060" spans="1:112" ht="14.25" customHeight="1" x14ac:dyDescent="0.3">
      <c r="A3060" s="1" t="s">
        <v>3201</v>
      </c>
      <c r="B3060" s="1" t="str">
        <f ca="1">IFERROR(__xludf.DUMMYFUNCTION("GOOGLETRANSLATE(A3060, ""en"", ""fr"")"),"mon")</f>
        <v>mon</v>
      </c>
      <c r="J3060" s="1" t="s">
        <v>7</v>
      </c>
    </row>
    <row r="3061" spans="1:112" ht="14.25" customHeight="1" x14ac:dyDescent="0.3">
      <c r="A3061" s="1" t="s">
        <v>3202</v>
      </c>
      <c r="B3061" s="1" t="str">
        <f ca="1">IFERROR(__xludf.DUMMYFUNCTION("GOOGLETRANSLATE(A3061, ""en"", ""fr"")"),"moi-même")</f>
        <v>moi-même</v>
      </c>
      <c r="J3061" s="1" t="s">
        <v>7</v>
      </c>
    </row>
    <row r="3062" spans="1:112" ht="14.25" customHeight="1" x14ac:dyDescent="0.3">
      <c r="A3062" s="1" t="s">
        <v>3203</v>
      </c>
      <c r="B3062" s="1" t="str">
        <f ca="1">IFERROR(__xludf.DUMMYFUNCTION("GOOGLETRANSLATE(A3062, ""en"", ""fr"")"),"nahr umr")</f>
        <v>nahr umr</v>
      </c>
      <c r="AU3062" s="1" t="s">
        <v>44</v>
      </c>
      <c r="BE3062" s="1" t="s">
        <v>54</v>
      </c>
      <c r="BS3062" s="1" t="s">
        <v>68</v>
      </c>
      <c r="DD3062" s="1" t="s">
        <v>105</v>
      </c>
    </row>
    <row r="3063" spans="1:112" ht="14.25" customHeight="1" x14ac:dyDescent="0.3">
      <c r="A3063" s="1" t="s">
        <v>3204</v>
      </c>
      <c r="B3063" s="1" t="str">
        <f ca="1">IFERROR(__xludf.DUMMYFUNCTION("GOOGLETRANSLATE(A3063, ""en"", ""fr"")"),"Nang Nuang")</f>
        <v>Nang Nuang</v>
      </c>
      <c r="R3063" s="1" t="s">
        <v>15</v>
      </c>
      <c r="CS3063" s="1" t="s">
        <v>94</v>
      </c>
    </row>
    <row r="3064" spans="1:112" ht="14.25" customHeight="1" x14ac:dyDescent="0.3">
      <c r="A3064" s="1" t="s">
        <v>3205</v>
      </c>
      <c r="B3064" s="1" t="str">
        <f ca="1">IFERROR(__xludf.DUMMYFUNCTION("GOOGLETRANSLATE(A3064, ""en"", ""fr"")"),"Lumière nanhai")</f>
        <v>Lumière nanhai</v>
      </c>
      <c r="R3064" s="1" t="s">
        <v>15</v>
      </c>
      <c r="CS3064" s="1" t="s">
        <v>94</v>
      </c>
    </row>
    <row r="3065" spans="1:112" ht="14.25" customHeight="1" x14ac:dyDescent="0.3">
      <c r="A3065" s="1" t="s">
        <v>3206</v>
      </c>
      <c r="B3065" s="1" t="str">
        <f ca="1">IFERROR(__xludf.DUMMYFUNCTION("GOOGLETRANSLATE(A3065, ""en"", ""fr"")"),"huile")</f>
        <v>huile</v>
      </c>
      <c r="BW3065" s="1" t="s">
        <v>72</v>
      </c>
      <c r="DD3065" s="1" t="s">
        <v>105</v>
      </c>
      <c r="DH3065" s="1" t="s">
        <v>109</v>
      </c>
    </row>
    <row r="3066" spans="1:112" ht="14.25" customHeight="1" x14ac:dyDescent="0.3">
      <c r="A3066" s="1" t="s">
        <v>3207</v>
      </c>
      <c r="B3066" s="1" t="str">
        <f ca="1">IFERROR(__xludf.DUMMYFUNCTION("GOOGLETRANSLATE(A3066, ""en"", ""fr"")"),"naphta")</f>
        <v>naphta</v>
      </c>
      <c r="R3066" s="1" t="s">
        <v>15</v>
      </c>
      <c r="CS3066" s="1" t="s">
        <v>94</v>
      </c>
    </row>
    <row r="3067" spans="1:112" ht="14.25" customHeight="1" x14ac:dyDescent="0.3">
      <c r="A3067" s="1" t="s">
        <v>3208</v>
      </c>
      <c r="B3067" s="1" t="str">
        <f ca="1">IFERROR(__xludf.DUMMYFUNCTION("GOOGLETRANSLATE(A3067, ""en"", ""fr"")"),"NIPA")</f>
        <v>NIPA</v>
      </c>
      <c r="M3067" s="1" t="s">
        <v>10</v>
      </c>
    </row>
    <row r="3068" spans="1:112" ht="14.25" customHeight="1" x14ac:dyDescent="0.3">
      <c r="A3068" s="1" t="s">
        <v>3209</v>
      </c>
      <c r="B3068" s="1" t="str">
        <f ca="1">IFERROR(__xludf.DUMMYFUNCTION("GOOGLETRANSLATE(A3068, ""en"", ""fr"")"),"index de NIP")</f>
        <v>index de NIP</v>
      </c>
      <c r="M3068" s="1" t="s">
        <v>10</v>
      </c>
    </row>
    <row r="3069" spans="1:112" ht="14.25" customHeight="1" x14ac:dyDescent="0.3">
      <c r="A3069" s="1" t="s">
        <v>3210</v>
      </c>
      <c r="B3069" s="1" t="str">
        <f ca="1">IFERROR(__xludf.DUMMYFUNCTION("GOOGLETRANSLATE(A3069, ""en"", ""fr"")"),"Napo")</f>
        <v>Napo</v>
      </c>
      <c r="R3069" s="1" t="s">
        <v>15</v>
      </c>
      <c r="CS3069" s="1" t="s">
        <v>94</v>
      </c>
    </row>
    <row r="3070" spans="1:112" ht="14.25" customHeight="1" x14ac:dyDescent="0.3">
      <c r="A3070" s="1" t="s">
        <v>3211</v>
      </c>
      <c r="B3070" s="1" t="str">
        <f ca="1">IFERROR(__xludf.DUMMYFUNCTION("GOOGLETRANSLATE(A3070, ""en"", ""fr"")"),"Naptha Koch")</f>
        <v>Naptha Koch</v>
      </c>
      <c r="R3070" s="1" t="s">
        <v>15</v>
      </c>
      <c r="CS3070" s="1" t="s">
        <v>94</v>
      </c>
    </row>
    <row r="3071" spans="1:112" ht="14.25" customHeight="1" x14ac:dyDescent="0.3">
      <c r="A3071" s="1" t="s">
        <v>3212</v>
      </c>
      <c r="B3071" s="1" t="str">
        <f ca="1">IFERROR(__xludf.DUMMYFUNCTION("GOOGLETRANSLATE(A3071, ""en"", ""fr"")"),"Association nationale des gestionnaires d'achat (NAP)")</f>
        <v>Association nationale des gestionnaires d'achat (NAP)</v>
      </c>
      <c r="M3071" s="1" t="s">
        <v>10</v>
      </c>
    </row>
    <row r="3072" spans="1:112" ht="14.25" customHeight="1" x14ac:dyDescent="0.3">
      <c r="A3072" s="1" t="s">
        <v>3213</v>
      </c>
      <c r="B3072" s="1" t="str">
        <f ca="1">IFERROR(__xludf.DUMMYFUNCTION("GOOGLETRANSLATE(A3072, ""en"", ""fr"")"),"Index national de l'Association des gestionnaires d'achat")</f>
        <v>Index national de l'Association des gestionnaires d'achat</v>
      </c>
      <c r="M3072" s="1" t="s">
        <v>10</v>
      </c>
    </row>
    <row r="3073" spans="1:124" ht="14.25" customHeight="1" x14ac:dyDescent="0.3">
      <c r="A3073" s="1" t="s">
        <v>3214</v>
      </c>
      <c r="B3073" s="1" t="str">
        <f ca="1">IFERROR(__xludf.DUMMYFUNCTION("GOOGLETRANSLATE(A3073, ""en"", ""fr"")"),"budget national")</f>
        <v>budget national</v>
      </c>
      <c r="M3073" s="1" t="s">
        <v>10</v>
      </c>
    </row>
    <row r="3074" spans="1:124" ht="14.25" customHeight="1" x14ac:dyDescent="0.3">
      <c r="A3074" s="1" t="s">
        <v>3215</v>
      </c>
      <c r="B3074" s="1" t="str">
        <f ca="1">IFERROR(__xludf.DUMMYFUNCTION("GOOGLETRANSLATE(A3074, ""en"", ""fr"")"),"dette nationale")</f>
        <v>dette nationale</v>
      </c>
      <c r="M3074" s="1" t="s">
        <v>10</v>
      </c>
    </row>
    <row r="3075" spans="1:124" ht="14.25" customHeight="1" x14ac:dyDescent="0.3">
      <c r="A3075" s="1" t="s">
        <v>3216</v>
      </c>
      <c r="B3075" s="1" t="str">
        <f ca="1">IFERROR(__xludf.DUMMYFUNCTION("GOOGLETRANSLATE(A3075, ""en"", ""fr"")"),"horloge de la dette nationale")</f>
        <v>horloge de la dette nationale</v>
      </c>
      <c r="M3075" s="1" t="s">
        <v>10</v>
      </c>
    </row>
    <row r="3076" spans="1:124" ht="14.25" customHeight="1" x14ac:dyDescent="0.3">
      <c r="A3076" s="1" t="s">
        <v>3217</v>
      </c>
      <c r="B3076" s="1" t="str">
        <f ca="1">IFERROR(__xludf.DUMMYFUNCTION("GOOGLETRANSLATE(A3076, ""en"", ""fr"")"),"déficit national")</f>
        <v>déficit national</v>
      </c>
      <c r="M3076" s="1" t="s">
        <v>10</v>
      </c>
    </row>
    <row r="3077" spans="1:124" ht="14.25" customHeight="1" x14ac:dyDescent="0.3">
      <c r="A3077" s="1" t="s">
        <v>3218</v>
      </c>
      <c r="B3077" s="1" t="str">
        <f ca="1">IFERROR(__xludf.DUMMYFUNCTION("GOOGLETRANSLATE(A3077, ""en"", ""fr"")"),"revenu national")</f>
        <v>revenu national</v>
      </c>
      <c r="M3077" s="1" t="s">
        <v>10</v>
      </c>
    </row>
    <row r="3078" spans="1:124" ht="14.25" customHeight="1" x14ac:dyDescent="0.3">
      <c r="A3078" s="1" t="s">
        <v>3219</v>
      </c>
      <c r="B3078" s="1" t="str">
        <f ca="1">IFERROR(__xludf.DUMMYFUNCTION("GOOGLETRANSLATE(A3078, ""en"", ""fr"")"),"pétrole national iranien")</f>
        <v>pétrole national iranien</v>
      </c>
      <c r="BT3078" s="1" t="s">
        <v>69</v>
      </c>
      <c r="CA3078" s="1" t="s">
        <v>76</v>
      </c>
      <c r="DT3078" s="1" t="s">
        <v>121</v>
      </c>
    </row>
    <row r="3079" spans="1:124" ht="14.25" customHeight="1" x14ac:dyDescent="0.3">
      <c r="A3079" s="1" t="s">
        <v>3220</v>
      </c>
      <c r="B3079" s="1" t="str">
        <f ca="1">IFERROR(__xludf.DUMMYFUNCTION("GOOGLETRANSLATE(A3079, ""en"", ""fr"")"),"nationalisation")</f>
        <v>nationalisation</v>
      </c>
      <c r="M3079" s="1" t="s">
        <v>10</v>
      </c>
    </row>
    <row r="3080" spans="1:124" ht="14.25" customHeight="1" x14ac:dyDescent="0.3">
      <c r="A3080" s="1" t="s">
        <v>3221</v>
      </c>
      <c r="B3080" s="1" t="str">
        <f ca="1">IFERROR(__xludf.DUMMYFUNCTION("GOOGLETRANSLATE(A3080, ""en"", ""fr"")"),"capital naturel")</f>
        <v>capital naturel</v>
      </c>
      <c r="M3080" s="1" t="s">
        <v>10</v>
      </c>
    </row>
    <row r="3081" spans="1:124" ht="14.25" customHeight="1" x14ac:dyDescent="0.3">
      <c r="A3081" s="1" t="s">
        <v>3222</v>
      </c>
      <c r="B3081" s="1" t="str">
        <f ca="1">IFERROR(__xludf.DUMMYFUNCTION("GOOGLETRANSLATE(A3081, ""en"", ""fr"")"),"capitalisme naturel")</f>
        <v>capitalisme naturel</v>
      </c>
      <c r="M3081" s="1" t="s">
        <v>10</v>
      </c>
    </row>
    <row r="3082" spans="1:124" ht="14.25" customHeight="1" x14ac:dyDescent="0.3">
      <c r="A3082" s="1" t="s">
        <v>3223</v>
      </c>
      <c r="B3082" s="1" t="str">
        <f ca="1">IFERROR(__xludf.DUMMYFUNCTION("GOOGLETRANSLATE(A3082, ""en"", ""fr"")"),"gaz naturel")</f>
        <v>gaz naturel</v>
      </c>
      <c r="G3082" s="1" t="s">
        <v>5</v>
      </c>
      <c r="M3082" s="1" t="s">
        <v>10</v>
      </c>
    </row>
    <row r="3083" spans="1:124" ht="14.25" customHeight="1" x14ac:dyDescent="0.3">
      <c r="A3083" s="1" t="s">
        <v>3224</v>
      </c>
      <c r="B3083" s="1" t="str">
        <f ca="1">IFERROR(__xludf.DUMMYFUNCTION("GOOGLETRANSLATE(A3083, ""en"", ""fr"")"),"Vélo de gaz naturel")</f>
        <v>Vélo de gaz naturel</v>
      </c>
      <c r="E3083" s="1" t="s">
        <v>3</v>
      </c>
    </row>
    <row r="3084" spans="1:124" ht="14.25" customHeight="1" x14ac:dyDescent="0.3">
      <c r="A3084" s="1" t="s">
        <v>3225</v>
      </c>
      <c r="B3084" s="1" t="str">
        <f ca="1">IFERROR(__xludf.DUMMYFUNCTION("GOOGLETRANSLATE(A3084, ""en"", ""fr"")"),"Injection de gaz naturel")</f>
        <v>Injection de gaz naturel</v>
      </c>
      <c r="E3084" s="1" t="s">
        <v>3</v>
      </c>
    </row>
    <row r="3085" spans="1:124" ht="14.25" customHeight="1" x14ac:dyDescent="0.3">
      <c r="A3085" s="1" t="s">
        <v>3226</v>
      </c>
      <c r="B3085" s="1" t="str">
        <f ca="1">IFERROR(__xludf.DUMMYFUNCTION("GOOGLETRANSLATE(A3085, ""en"", ""fr"")"),"ressources naturelles")</f>
        <v>ressources naturelles</v>
      </c>
      <c r="M3085" s="1" t="s">
        <v>10</v>
      </c>
    </row>
    <row r="3086" spans="1:124" ht="14.25" customHeight="1" x14ac:dyDescent="0.3">
      <c r="A3086" s="1" t="s">
        <v>3227</v>
      </c>
      <c r="B3086" s="1" t="str">
        <f ca="1">IFERROR(__xludf.DUMMYFUNCTION("GOOGLETRANSLATE(A3086, ""en"", ""fr"")"),"NÉGATIF")</f>
        <v>NÉGATIF</v>
      </c>
      <c r="D3086" s="1" t="s">
        <v>4963</v>
      </c>
    </row>
    <row r="3087" spans="1:124" ht="14.25" customHeight="1" x14ac:dyDescent="0.3">
      <c r="A3087" s="1" t="s">
        <v>3228</v>
      </c>
      <c r="B3087" s="1" t="str">
        <f ca="1">IFERROR(__xludf.DUMMYFUNCTION("GOOGLETRANSLATE(A3087, ""en"", ""fr"")"),"Négativement")</f>
        <v>Négativement</v>
      </c>
      <c r="D3087" s="1" t="s">
        <v>4963</v>
      </c>
    </row>
    <row r="3088" spans="1:124" ht="14.25" customHeight="1" x14ac:dyDescent="0.3">
      <c r="A3088" s="1" t="s">
        <v>3229</v>
      </c>
      <c r="B3088" s="1" t="str">
        <f ca="1">IFERROR(__xludf.DUMMYFUNCTION("GOOGLETRANSLATE(A3088, ""en"", ""fr"")"),"Négatifs")</f>
        <v>Négatifs</v>
      </c>
      <c r="D3088" s="1" t="s">
        <v>4963</v>
      </c>
    </row>
    <row r="3089" spans="1:135" ht="14.25" customHeight="1" x14ac:dyDescent="0.3">
      <c r="A3089" s="1" t="s">
        <v>3230</v>
      </c>
      <c r="B3089" s="1" t="str">
        <f ca="1">IFERROR(__xludf.DUMMYFUNCTION("GOOGLETRANSLATE(A3089, ""en"", ""fr"")"),"Refinerie de Negishi Yokahama")</f>
        <v>Refinerie de Negishi Yokahama</v>
      </c>
      <c r="BF3089" s="1" t="s">
        <v>55</v>
      </c>
      <c r="BQ3089" s="1" t="s">
        <v>66</v>
      </c>
      <c r="EB3089" s="1" t="s">
        <v>129</v>
      </c>
      <c r="EE3089" s="1" t="s">
        <v>132</v>
      </c>
    </row>
    <row r="3090" spans="1:135" ht="14.25" customHeight="1" x14ac:dyDescent="0.3">
      <c r="A3090" s="1" t="s">
        <v>3231</v>
      </c>
      <c r="B3090" s="1" t="str">
        <f ca="1">IFERROR(__xludf.DUMMYFUNCTION("GOOGLETRANSLATE(A3090, ""en"", ""fr"")"),"NÉGLIGENCE")</f>
        <v>NÉGLIGENCE</v>
      </c>
      <c r="D3090" s="1" t="s">
        <v>4963</v>
      </c>
    </row>
    <row r="3091" spans="1:135" ht="14.25" customHeight="1" x14ac:dyDescent="0.3">
      <c r="A3091" s="1" t="s">
        <v>3232</v>
      </c>
      <c r="B3091" s="1" t="str">
        <f ca="1">IFERROR(__xludf.DUMMYFUNCTION("GOOGLETRANSLATE(A3091, ""en"", ""fr"")"),"NÉGLIGÉ")</f>
        <v>NÉGLIGÉ</v>
      </c>
      <c r="D3091" s="1" t="s">
        <v>4963</v>
      </c>
    </row>
    <row r="3092" spans="1:135" ht="14.25" customHeight="1" x14ac:dyDescent="0.3">
      <c r="A3092" s="1" t="s">
        <v>3233</v>
      </c>
      <c r="B3092" s="1" t="str">
        <f ca="1">IFERROR(__xludf.DUMMYFUNCTION("GOOGLETRANSLATE(A3092, ""en"", ""fr"")"),"NÉGLIGENT")</f>
        <v>NÉGLIGENT</v>
      </c>
      <c r="D3092" s="1" t="s">
        <v>4963</v>
      </c>
    </row>
    <row r="3093" spans="1:135" ht="14.25" customHeight="1" x14ac:dyDescent="0.3">
      <c r="A3093" s="1" t="s">
        <v>3234</v>
      </c>
      <c r="B3093" s="1" t="str">
        <f ca="1">IFERROR(__xludf.DUMMYFUNCTION("GOOGLETRANSLATE(A3093, ""en"", ""fr"")"),"Négligence")</f>
        <v>Négligence</v>
      </c>
      <c r="D3093" s="1" t="s">
        <v>4963</v>
      </c>
    </row>
    <row r="3094" spans="1:135" ht="14.25" customHeight="1" x14ac:dyDescent="0.3">
      <c r="A3094" s="1" t="s">
        <v>3235</v>
      </c>
      <c r="B3094" s="1" t="str">
        <f ca="1">IFERROR(__xludf.DUMMYFUNCTION("GOOGLETRANSLATE(A3094, ""en"", ""fr"")"),"Négligence")</f>
        <v>Négligence</v>
      </c>
      <c r="D3094" s="1" t="s">
        <v>4963</v>
      </c>
    </row>
    <row r="3095" spans="1:135" ht="14.25" customHeight="1" x14ac:dyDescent="0.3">
      <c r="A3095" s="1" t="s">
        <v>3236</v>
      </c>
      <c r="B3095" s="1" t="str">
        <f ca="1">IFERROR(__xludf.DUMMYFUNCTION("GOOGLETRANSLATE(A3095, ""en"", ""fr"")"),"NÉGLIGENCE")</f>
        <v>NÉGLIGENCE</v>
      </c>
      <c r="D3095" s="1" t="s">
        <v>4963</v>
      </c>
    </row>
    <row r="3096" spans="1:135" ht="14.25" customHeight="1" x14ac:dyDescent="0.3">
      <c r="A3096" s="1" t="s">
        <v>3237</v>
      </c>
      <c r="B3096" s="1" t="str">
        <f ca="1">IFERROR(__xludf.DUMMYFUNCTION("GOOGLETRANSLATE(A3096, ""en"", ""fr"")"),"Négligences")</f>
        <v>Négligences</v>
      </c>
      <c r="D3096" s="1" t="s">
        <v>4963</v>
      </c>
    </row>
    <row r="3097" spans="1:135" ht="14.25" customHeight="1" x14ac:dyDescent="0.3">
      <c r="A3097" s="1" t="s">
        <v>3238</v>
      </c>
      <c r="B3097" s="1" t="str">
        <f ca="1">IFERROR(__xludf.DUMMYFUNCTION("GOOGLETRANSLATE(A3097, ""en"", ""fr"")"),"NÉGLIGENT")</f>
        <v>NÉGLIGENT</v>
      </c>
      <c r="D3097" s="1" t="s">
        <v>4963</v>
      </c>
    </row>
    <row r="3098" spans="1:135" ht="14.25" customHeight="1" x14ac:dyDescent="0.3">
      <c r="A3098" s="1" t="s">
        <v>3239</v>
      </c>
      <c r="B3098" s="1" t="str">
        <f ca="1">IFERROR(__xludf.DUMMYFUNCTION("GOOGLETRANSLATE(A3098, ""en"", ""fr"")"),"NÉGLIGEMMENT")</f>
        <v>NÉGLIGEMMENT</v>
      </c>
      <c r="D3098" s="1" t="s">
        <v>4963</v>
      </c>
    </row>
    <row r="3099" spans="1:135" ht="14.25" customHeight="1" x14ac:dyDescent="0.3">
      <c r="A3099" s="1" t="s">
        <v>3240</v>
      </c>
      <c r="B3099" s="1" t="str">
        <f ca="1">IFERROR(__xludf.DUMMYFUNCTION("GOOGLETRANSLATE(A3099, ""en"", ""fr"")"),"ni l'un ni l'autre")</f>
        <v>ni l'un ni l'autre</v>
      </c>
      <c r="J3099" s="1" t="s">
        <v>7</v>
      </c>
    </row>
    <row r="3100" spans="1:135" ht="14.25" customHeight="1" x14ac:dyDescent="0.3">
      <c r="A3100" s="1" t="s">
        <v>3241</v>
      </c>
      <c r="B3100" s="1" t="str">
        <f ca="1">IFERROR(__xludf.DUMMYFUNCTION("GOOGLETRANSLATE(A3100, ""en"", ""fr"")"),"Némba")</f>
        <v>Némba</v>
      </c>
      <c r="R3100" s="1" t="s">
        <v>15</v>
      </c>
      <c r="CS3100" s="1" t="s">
        <v>94</v>
      </c>
    </row>
    <row r="3101" spans="1:135" ht="14.25" customHeight="1" x14ac:dyDescent="0.3">
      <c r="A3101" s="1" t="s">
        <v>3242</v>
      </c>
      <c r="B3101" s="1" t="str">
        <f ca="1">IFERROR(__xludf.DUMMYFUNCTION("GOOGLETRANSLATE(A3101, ""en"", ""fr"")"),"valeur comptable nette")</f>
        <v>valeur comptable nette</v>
      </c>
      <c r="CR3101" s="1" t="s">
        <v>93</v>
      </c>
    </row>
    <row r="3102" spans="1:135" ht="14.25" customHeight="1" x14ac:dyDescent="0.3">
      <c r="A3102" s="1" t="s">
        <v>3243</v>
      </c>
      <c r="B3102" s="1" t="str">
        <f ca="1">IFERROR(__xludf.DUMMYFUNCTION("GOOGLETRANSLATE(A3102, ""en"", ""fr"")"),"espèces nettes")</f>
        <v>espèces nettes</v>
      </c>
      <c r="CR3102" s="1" t="s">
        <v>93</v>
      </c>
    </row>
    <row r="3103" spans="1:135" ht="14.25" customHeight="1" x14ac:dyDescent="0.3">
      <c r="A3103" s="1" t="s">
        <v>3244</v>
      </c>
      <c r="B3103" s="1" t="str">
        <f ca="1">IFERROR(__xludf.DUMMYFUNCTION("GOOGLETRANSLATE(A3103, ""en"", ""fr"")"),"produit intérieur net")</f>
        <v>produit intérieur net</v>
      </c>
      <c r="M3103" s="1" t="s">
        <v>10</v>
      </c>
    </row>
    <row r="3104" spans="1:135" ht="14.25" customHeight="1" x14ac:dyDescent="0.3">
      <c r="A3104" s="1" t="s">
        <v>3245</v>
      </c>
      <c r="B3104" s="1" t="str">
        <f ca="1">IFERROR(__xludf.DUMMYFUNCTION("GOOGLETRANSLATE(A3104, ""en"", ""fr"")"),"revenu net")</f>
        <v>revenu net</v>
      </c>
      <c r="CR3104" s="1" t="s">
        <v>93</v>
      </c>
    </row>
    <row r="3105" spans="1:141" ht="14.25" customHeight="1" x14ac:dyDescent="0.3">
      <c r="A3105" s="1" t="s">
        <v>3246</v>
      </c>
      <c r="B3105" s="1" t="str">
        <f ca="1">IFERROR(__xludf.DUMMYFUNCTION("GOOGLETRANSLATE(A3105, ""en"", ""fr"")"),"Revenu net avant impôts")</f>
        <v>Revenu net avant impôts</v>
      </c>
      <c r="CR3105" s="1" t="s">
        <v>93</v>
      </c>
    </row>
    <row r="3106" spans="1:141" ht="14.25" customHeight="1" x14ac:dyDescent="0.3">
      <c r="A3106" s="1" t="s">
        <v>3247</v>
      </c>
      <c r="B3106" s="1" t="str">
        <f ca="1">IFERROR(__xludf.DUMMYFUNCTION("GOOGLETRANSLATE(A3106, ""en"", ""fr"")"),"perte de fonctionnement nette")</f>
        <v>perte de fonctionnement nette</v>
      </c>
      <c r="CR3106" s="1" t="s">
        <v>93</v>
      </c>
    </row>
    <row r="3107" spans="1:141" ht="14.25" customHeight="1" x14ac:dyDescent="0.3">
      <c r="A3107" s="1" t="s">
        <v>3248</v>
      </c>
      <c r="B3107" s="1" t="str">
        <f ca="1">IFERROR(__xludf.DUMMYFUNCTION("GOOGLETRANSLATE(A3107, ""en"", ""fr"")"),"valeur actuelle nette")</f>
        <v>valeur actuelle nette</v>
      </c>
      <c r="CR3107" s="1" t="s">
        <v>93</v>
      </c>
    </row>
    <row r="3108" spans="1:141" ht="14.25" customHeight="1" x14ac:dyDescent="0.3">
      <c r="A3108" s="1" t="s">
        <v>3249</v>
      </c>
      <c r="B3108" s="1" t="str">
        <f ca="1">IFERROR(__xludf.DUMMYFUNCTION("GOOGLETRANSLATE(A3108, ""en"", ""fr"")"),"Propriété nette, usine et équipement brut")</f>
        <v>Propriété nette, usine et équipement brut</v>
      </c>
      <c r="CR3108" s="1" t="s">
        <v>93</v>
      </c>
    </row>
    <row r="3109" spans="1:141" ht="14.25" customHeight="1" x14ac:dyDescent="0.3">
      <c r="A3109" s="1" t="s">
        <v>3250</v>
      </c>
      <c r="B3109" s="1" t="str">
        <f ca="1">IFERROR(__xludf.DUMMYFUNCTION("GOOGLETRANSLATE(A3109, ""en"", ""fr"")"),"ventes nettes")</f>
        <v>ventes nettes</v>
      </c>
      <c r="CR3109" s="1" t="s">
        <v>93</v>
      </c>
    </row>
    <row r="3110" spans="1:141" ht="14.25" customHeight="1" x14ac:dyDescent="0.3">
      <c r="A3110" s="1" t="s">
        <v>3251</v>
      </c>
      <c r="B3110" s="1" t="str">
        <f ca="1">IFERROR(__xludf.DUMMYFUNCTION("GOOGLETRANSLATE(A3110, ""en"", ""fr"")"),"Pays-Bas")</f>
        <v>Pays-Bas</v>
      </c>
      <c r="DU3110" s="1" t="s">
        <v>122</v>
      </c>
    </row>
    <row r="3111" spans="1:141" ht="14.25" customHeight="1" x14ac:dyDescent="0.3">
      <c r="A3111" s="1" t="s">
        <v>3252</v>
      </c>
      <c r="B3111" s="1" t="str">
        <f ca="1">IFERROR(__xludf.DUMMYFUNCTION("GOOGLETRANSLATE(A3111, ""en"", ""fr"")"),"Huile neutre")</f>
        <v>Huile neutre</v>
      </c>
      <c r="E3111" s="1" t="s">
        <v>3</v>
      </c>
    </row>
    <row r="3112" spans="1:141" ht="14.25" customHeight="1" x14ac:dyDescent="0.3">
      <c r="A3112" s="1" t="s">
        <v>3253</v>
      </c>
      <c r="B3112" s="1" t="str">
        <f ca="1">IFERROR(__xludf.DUMMYFUNCTION("GOOGLETRANSLATE(A3112, ""en"", ""fr"")"),"jamais")</f>
        <v>jamais</v>
      </c>
      <c r="J3112" s="1" t="s">
        <v>7</v>
      </c>
    </row>
    <row r="3113" spans="1:141" ht="14.25" customHeight="1" x14ac:dyDescent="0.3">
      <c r="A3113" s="1" t="s">
        <v>3254</v>
      </c>
      <c r="B3113" s="1" t="str">
        <f ca="1">IFERROR(__xludf.DUMMYFUNCTION("GOOGLETRANSLATE(A3113, ""en"", ""fr"")"),"ventes de maisons nouvelles")</f>
        <v>ventes de maisons nouvelles</v>
      </c>
      <c r="M3113" s="1" t="s">
        <v>10</v>
      </c>
    </row>
    <row r="3114" spans="1:141" ht="14.25" customHeight="1" x14ac:dyDescent="0.3">
      <c r="A3114" s="1" t="s">
        <v>3255</v>
      </c>
      <c r="B3114" s="1" t="str">
        <f ca="1">IFERROR(__xludf.DUMMYFUNCTION("GOOGLETRANSLATE(A3114, ""en"", ""fr"")"),"New Orleans Refining Co")</f>
        <v>New Orleans Refining Co</v>
      </c>
      <c r="N3114" s="1" t="s">
        <v>11</v>
      </c>
      <c r="BF3114" s="1" t="s">
        <v>55</v>
      </c>
      <c r="BI3114" s="1" t="s">
        <v>58</v>
      </c>
      <c r="DJ3114" s="1" t="s">
        <v>111</v>
      </c>
    </row>
    <row r="3115" spans="1:141" ht="14.25" customHeight="1" x14ac:dyDescent="0.3">
      <c r="A3115" s="1" t="s">
        <v>3256</v>
      </c>
      <c r="B3115" s="1" t="str">
        <f ca="1">IFERROR(__xludf.DUMMYFUNCTION("GOOGLETRANSLATE(A3115, ""en"", ""fr"")"),"Nouveau mélange zafiro")</f>
        <v>Nouveau mélange zafiro</v>
      </c>
      <c r="R3115" s="1" t="s">
        <v>15</v>
      </c>
      <c r="CS3115" s="1" t="s">
        <v>94</v>
      </c>
    </row>
    <row r="3116" spans="1:141" ht="14.25" customHeight="1" x14ac:dyDescent="0.3">
      <c r="A3116" s="1" t="s">
        <v>3257</v>
      </c>
      <c r="B3116" s="1" t="str">
        <f ca="1">IFERROR(__xludf.DUMMYFUNCTION("GOOGLETRANSLATE(A3116, ""en"", ""fr"")"),"NFC II")</f>
        <v>NFC II</v>
      </c>
      <c r="R3116" s="1" t="s">
        <v>15</v>
      </c>
      <c r="CS3116" s="1" t="s">
        <v>94</v>
      </c>
    </row>
    <row r="3117" spans="1:141" ht="14.25" customHeight="1" x14ac:dyDescent="0.3">
      <c r="A3117" s="1" t="s">
        <v>3258</v>
      </c>
      <c r="B3117" s="1" t="str">
        <f ca="1">IFERROR(__xludf.DUMMYFUNCTION("GOOGLETRANSLATE(A3117, ""en"", ""fr"")"),"Nigeria")</f>
        <v>Nigeria</v>
      </c>
      <c r="CL3117" s="1" t="s">
        <v>87</v>
      </c>
      <c r="DC3117" s="1" t="s">
        <v>104</v>
      </c>
      <c r="EK3117" s="1" t="s">
        <v>138</v>
      </c>
    </row>
    <row r="3118" spans="1:141" ht="14.25" customHeight="1" x14ac:dyDescent="0.3">
      <c r="A3118" s="1" t="s">
        <v>3259</v>
      </c>
      <c r="B3118" s="1" t="str">
        <f ca="1">IFERROR(__xludf.DUMMYFUNCTION("GOOGLETRANSLATE(A3118, ""en"", ""fr"")"),"pétrole national du Nigéria")</f>
        <v>pétrole national du Nigéria</v>
      </c>
      <c r="CT3118" s="1" t="s">
        <v>95</v>
      </c>
      <c r="DC3118" s="1" t="s">
        <v>104</v>
      </c>
      <c r="DT3118" s="1" t="s">
        <v>121</v>
      </c>
    </row>
    <row r="3119" spans="1:141" ht="14.25" customHeight="1" x14ac:dyDescent="0.3">
      <c r="A3119" s="1" t="s">
        <v>3260</v>
      </c>
      <c r="B3119" s="1" t="str">
        <f ca="1">IFERROR(__xludf.DUMMYFUNCTION("GOOGLETRANSLATE(A3119, ""en"", ""fr"")"),"Pétrole national nigérian")</f>
        <v>Pétrole national nigérian</v>
      </c>
      <c r="CT3119" s="1" t="s">
        <v>95</v>
      </c>
      <c r="DC3119" s="1" t="s">
        <v>104</v>
      </c>
      <c r="DT3119" s="1" t="s">
        <v>121</v>
      </c>
    </row>
    <row r="3120" spans="1:141" ht="14.25" customHeight="1" x14ac:dyDescent="0.3">
      <c r="A3120" s="1" t="s">
        <v>3261</v>
      </c>
      <c r="B3120" s="1" t="str">
        <f ca="1">IFERROR(__xludf.DUMMYFUNCTION("GOOGLETRANSLATE(A3120, ""en"", ""fr"")"),"Mélange du Nil")</f>
        <v>Mélange du Nil</v>
      </c>
      <c r="R3120" s="1" t="s">
        <v>15</v>
      </c>
      <c r="CS3120" s="1" t="s">
        <v>94</v>
      </c>
    </row>
    <row r="3121" spans="1:142" ht="14.25" customHeight="1" x14ac:dyDescent="0.3">
      <c r="A3121" s="1" t="s">
        <v>3262</v>
      </c>
      <c r="B3121" s="1" t="str">
        <f ca="1">IFERROR(__xludf.DUMMYFUNCTION("GOOGLETRANSLATE(A3121, ""en"", ""fr"")"),"nioc")</f>
        <v>nioc</v>
      </c>
      <c r="BT3121" s="1" t="s">
        <v>69</v>
      </c>
      <c r="CA3121" s="1" t="s">
        <v>76</v>
      </c>
      <c r="DT3121" s="1" t="s">
        <v>121</v>
      </c>
    </row>
    <row r="3122" spans="1:142" ht="14.25" customHeight="1" x14ac:dyDescent="0.3">
      <c r="A3122" s="1" t="s">
        <v>3263</v>
      </c>
      <c r="B3122" s="1" t="str">
        <f ca="1">IFERROR(__xludf.DUMMYFUNCTION("GOOGLETRANSLATE(A3122, ""en"", ""fr"")"),"nippon")</f>
        <v>nippon</v>
      </c>
      <c r="BQ3122" s="1" t="s">
        <v>66</v>
      </c>
      <c r="DT3122" s="1" t="s">
        <v>121</v>
      </c>
      <c r="EE3122" s="1" t="s">
        <v>132</v>
      </c>
    </row>
    <row r="3123" spans="1:142" ht="14.25" customHeight="1" x14ac:dyDescent="0.3">
      <c r="A3123" s="1" t="s">
        <v>3264</v>
      </c>
      <c r="B3123" s="1" t="str">
        <f ca="1">IFERROR(__xludf.DUMMYFUNCTION("GOOGLETRANSLATE(A3123, ""en"", ""fr"")"),"Nitration")</f>
        <v>Nitration</v>
      </c>
      <c r="E3123" s="1" t="s">
        <v>3</v>
      </c>
    </row>
    <row r="3124" spans="1:142" ht="14.25" customHeight="1" x14ac:dyDescent="0.3">
      <c r="A3124" s="1" t="s">
        <v>3265</v>
      </c>
      <c r="B3124" s="1" t="str">
        <f ca="1">IFERROR(__xludf.DUMMYFUNCTION("GOOGLETRANSLATE(A3124, ""en"", ""fr"")"),"Nizhne-Chutinskoe")</f>
        <v>Nizhne-Chutinskoe</v>
      </c>
      <c r="AK3124" s="1" t="s">
        <v>34</v>
      </c>
      <c r="BH3124" s="1" t="s">
        <v>57</v>
      </c>
      <c r="BW3124" s="1" t="s">
        <v>72</v>
      </c>
      <c r="DD3124" s="1" t="s">
        <v>105</v>
      </c>
    </row>
    <row r="3125" spans="1:142" ht="14.25" customHeight="1" x14ac:dyDescent="0.3">
      <c r="A3125" s="1" t="s">
        <v>3266</v>
      </c>
      <c r="B3125" s="1" t="str">
        <f ca="1">IFERROR(__xludf.DUMMYFUNCTION("GOOGLETRANSLATE(A3125, ""en"", ""fr"")"),"Njord")</f>
        <v>Njord</v>
      </c>
      <c r="R3125" s="1" t="s">
        <v>15</v>
      </c>
      <c r="CS3125" s="1" t="s">
        <v>94</v>
      </c>
    </row>
    <row r="3126" spans="1:142" ht="14.25" customHeight="1" x14ac:dyDescent="0.3">
      <c r="A3126" s="1" t="s">
        <v>3267</v>
      </c>
      <c r="B3126" s="1" t="str">
        <f ca="1">IFERROR(__xludf.DUMMYFUNCTION("GOOGLETRANSLATE(A3126, ""en"", ""fr"")"),"N'kossa")</f>
        <v>N'kossa</v>
      </c>
      <c r="R3126" s="1" t="s">
        <v>15</v>
      </c>
      <c r="CS3126" s="1" t="s">
        <v>94</v>
      </c>
    </row>
    <row r="3127" spans="1:142" ht="14.25" customHeight="1" x14ac:dyDescent="0.3">
      <c r="A3127" s="1" t="s">
        <v>3268</v>
      </c>
      <c r="B3127" s="1" t="str">
        <f ca="1">IFERROR(__xludf.DUMMYFUNCTION("GOOGLETRANSLATE(A3127, ""en"", ""fr"")"),"NNPC")</f>
        <v>NNPC</v>
      </c>
      <c r="CT3127" s="1" t="s">
        <v>95</v>
      </c>
      <c r="DC3127" s="1" t="s">
        <v>104</v>
      </c>
      <c r="DT3127" s="1" t="s">
        <v>121</v>
      </c>
    </row>
    <row r="3128" spans="1:142" ht="14.25" customHeight="1" x14ac:dyDescent="0.3">
      <c r="A3128" s="1" t="s">
        <v>3269</v>
      </c>
      <c r="B3128" s="1" t="str">
        <f ca="1">IFERROR(__xludf.DUMMYFUNCTION("GOOGLETRANSLATE(A3128, ""en"", ""fr"")"),"Non")</f>
        <v>Non</v>
      </c>
      <c r="J3128" s="1" t="s">
        <v>7</v>
      </c>
    </row>
    <row r="3129" spans="1:142" ht="14.25" customHeight="1" x14ac:dyDescent="0.3">
      <c r="A3129" s="1" t="s">
        <v>3270</v>
      </c>
      <c r="B3129" s="1" t="str">
        <f ca="1">IFERROR(__xludf.DUMMYFUNCTION("GOOGLETRANSLATE(A3129, ""en"", ""fr"")"),"nol")</f>
        <v>nol</v>
      </c>
      <c r="CR3129" s="1" t="s">
        <v>93</v>
      </c>
    </row>
    <row r="3130" spans="1:142" ht="14.25" customHeight="1" x14ac:dyDescent="0.3">
      <c r="A3130" s="1" t="s">
        <v>3271</v>
      </c>
      <c r="B3130" s="1" t="str">
        <f ca="1">IFERROR(__xludf.DUMMYFUNCTION("GOOGLETRANSLATE(A3130, ""en"", ""fr"")"),"PIB nominal")</f>
        <v>PIB nominal</v>
      </c>
      <c r="M3130" s="1" t="s">
        <v>10</v>
      </c>
    </row>
    <row r="3131" spans="1:142" ht="14.25" customHeight="1" x14ac:dyDescent="0.3">
      <c r="A3131" s="1" t="s">
        <v>3272</v>
      </c>
      <c r="B3131" s="1" t="str">
        <f ca="1">IFERROR(__xludf.DUMMYFUNCTION("GOOGLETRANSLATE(A3131, ""en"", ""fr"")"),"Gaz naturel non associé")</f>
        <v>Gaz naturel non associé</v>
      </c>
      <c r="EL3131" s="1" t="s">
        <v>139</v>
      </c>
    </row>
    <row r="3132" spans="1:142" ht="14.25" customHeight="1" x14ac:dyDescent="0.3">
      <c r="A3132" s="1" t="s">
        <v>3273</v>
      </c>
      <c r="B3132" s="1" t="str">
        <f ca="1">IFERROR(__xludf.DUMMYFUNCTION("GOOGLETRANSLATE(A3132, ""en"", ""fr"")"),"Non-atténuation")</f>
        <v>Non-atténuation</v>
      </c>
      <c r="D3132" s="1" t="s">
        <v>4963</v>
      </c>
    </row>
    <row r="3133" spans="1:142" ht="14.25" customHeight="1" x14ac:dyDescent="0.3">
      <c r="A3133" s="1" t="s">
        <v>3274</v>
      </c>
      <c r="B3133" s="1" t="str">
        <f ca="1">IFERROR(__xludf.DUMMYFUNCTION("GOOGLETRANSLATE(A3133, ""en"", ""fr"")"),"Instrument de paiement non cash")</f>
        <v>Instrument de paiement non cash</v>
      </c>
      <c r="M3133" s="1" t="s">
        <v>10</v>
      </c>
    </row>
    <row r="3134" spans="1:142" ht="14.25" customHeight="1" x14ac:dyDescent="0.3">
      <c r="A3134" s="1" t="s">
        <v>3275</v>
      </c>
      <c r="B3134" s="1" t="str">
        <f ca="1">IFERROR(__xludf.DUMMYFUNCTION("GOOGLETRANSLATE(A3134, ""en"", ""fr"")"),"NON COMPÉTITIF")</f>
        <v>NON COMPÉTITIF</v>
      </c>
      <c r="D3134" s="1" t="s">
        <v>4963</v>
      </c>
    </row>
    <row r="3135" spans="1:142" ht="14.25" customHeight="1" x14ac:dyDescent="0.3">
      <c r="A3135" s="1" t="s">
        <v>3276</v>
      </c>
      <c r="B3135" s="1" t="str">
        <f ca="1">IFERROR(__xludf.DUMMYFUNCTION("GOOGLETRANSLATE(A3135, ""en"", ""fr"")"),"Non-conformité")</f>
        <v>Non-conformité</v>
      </c>
      <c r="D3135" s="1" t="s">
        <v>4963</v>
      </c>
    </row>
    <row r="3136" spans="1:142" ht="14.25" customHeight="1" x14ac:dyDescent="0.3">
      <c r="A3136" s="1" t="s">
        <v>3277</v>
      </c>
      <c r="B3136" s="1" t="str">
        <f ca="1">IFERROR(__xludf.DUMMYFUNCTION("GOOGLETRANSLATE(A3136, ""en"", ""fr"")"),"Non-conformes")</f>
        <v>Non-conformes</v>
      </c>
      <c r="D3136" s="1" t="s">
        <v>4963</v>
      </c>
    </row>
    <row r="3137" spans="1:96" ht="14.25" customHeight="1" x14ac:dyDescent="0.3">
      <c r="A3137" s="1" t="s">
        <v>3278</v>
      </c>
      <c r="B3137" s="1" t="str">
        <f ca="1">IFERROR(__xludf.DUMMYFUNCTION("GOOGLETRANSLATE(A3137, ""en"", ""fr"")"),"Non conforme")</f>
        <v>Non conforme</v>
      </c>
      <c r="D3137" s="1" t="s">
        <v>4963</v>
      </c>
    </row>
    <row r="3138" spans="1:96" ht="14.25" customHeight="1" x14ac:dyDescent="0.3">
      <c r="A3138" s="1" t="s">
        <v>3279</v>
      </c>
      <c r="B3138" s="1" t="str">
        <f ca="1">IFERROR(__xludf.DUMMYFUNCTION("GOOGLETRANSLATE(A3138, ""en"", ""fr"")"),"Sans compréhension")</f>
        <v>Sans compréhension</v>
      </c>
      <c r="D3138" s="1" t="s">
        <v>4963</v>
      </c>
    </row>
    <row r="3139" spans="1:96" ht="14.25" customHeight="1" x14ac:dyDescent="0.3">
      <c r="A3139" s="1" t="s">
        <v>3280</v>
      </c>
      <c r="B3139" s="1" t="str">
        <f ca="1">IFERROR(__xludf.DUMMYFUNCTION("GOOGLETRANSLATE(A3139, ""en"", ""fr"")"),"Non-conforme")</f>
        <v>Non-conforme</v>
      </c>
      <c r="D3139" s="1" t="s">
        <v>4963</v>
      </c>
    </row>
    <row r="3140" spans="1:96" ht="14.25" customHeight="1" x14ac:dyDescent="0.3">
      <c r="A3140" s="1" t="s">
        <v>3281</v>
      </c>
      <c r="B3140" s="1" t="str">
        <f ca="1">IFERROR(__xludf.DUMMYFUNCTION("GOOGLETRANSLATE(A3140, ""en"", ""fr"")"),"Non-conformités")</f>
        <v>Non-conformités</v>
      </c>
      <c r="D3140" s="1" t="s">
        <v>4963</v>
      </c>
    </row>
    <row r="3141" spans="1:96" ht="14.25" customHeight="1" x14ac:dyDescent="0.3">
      <c r="A3141" s="1" t="s">
        <v>3282</v>
      </c>
      <c r="B3141" s="1" t="str">
        <f ca="1">IFERROR(__xludf.DUMMYFUNCTION("GOOGLETRANSLATE(A3141, ""en"", ""fr"")"),"Non-conformité")</f>
        <v>Non-conformité</v>
      </c>
      <c r="D3141" s="1" t="s">
        <v>4963</v>
      </c>
    </row>
    <row r="3142" spans="1:96" ht="14.25" customHeight="1" x14ac:dyDescent="0.3">
      <c r="A3142" s="1" t="s">
        <v>3283</v>
      </c>
      <c r="B3142" s="1" t="str">
        <f ca="1">IFERROR(__xludf.DUMMYFUNCTION("GOOGLETRANSLATE(A3142, ""en"", ""fr"")"),"actifs non courants")</f>
        <v>actifs non courants</v>
      </c>
      <c r="CR3142" s="1" t="s">
        <v>93</v>
      </c>
    </row>
    <row r="3143" spans="1:96" ht="14.25" customHeight="1" x14ac:dyDescent="0.3">
      <c r="A3143" s="1" t="s">
        <v>3284</v>
      </c>
      <c r="B3143" s="1" t="str">
        <f ca="1">IFERROR(__xludf.DUMMYFUNCTION("GOOGLETRANSLATE(A3143, ""en"", ""fr"")"),"passifs non courants")</f>
        <v>passifs non courants</v>
      </c>
      <c r="CR3143" s="1" t="s">
        <v>93</v>
      </c>
    </row>
    <row r="3144" spans="1:96" ht="14.25" customHeight="1" x14ac:dyDescent="0.3">
      <c r="A3144" s="1" t="s">
        <v>3285</v>
      </c>
      <c r="B3144" s="1" t="str">
        <f ca="1">IFERROR(__xludf.DUMMYFUNCTION("GOOGLETRANSLATE(A3144, ""en"", ""fr"")"),"Non-divulgation")</f>
        <v>Non-divulgation</v>
      </c>
      <c r="D3144" s="1" t="s">
        <v>4963</v>
      </c>
    </row>
    <row r="3145" spans="1:96" ht="14.25" customHeight="1" x14ac:dyDescent="0.3">
      <c r="A3145" s="1" t="s">
        <v>3286</v>
      </c>
      <c r="B3145" s="1" t="str">
        <f ca="1">IFERROR(__xludf.DUMMYFUNCTION("GOOGLETRANSLATE(A3145, ""en"", ""fr"")"),"risque non perpétté")</f>
        <v>risque non perpétté</v>
      </c>
      <c r="M3145" s="1" t="s">
        <v>10</v>
      </c>
    </row>
    <row r="3146" spans="1:96" ht="14.25" customHeight="1" x14ac:dyDescent="0.3">
      <c r="A3146" s="1" t="s">
        <v>3287</v>
      </c>
      <c r="B3146" s="1" t="str">
        <f ca="1">IFERROR(__xludf.DUMMYFUNCTION("GOOGLETRANSLATE(A3146, ""en"", ""fr"")"),"bien non durable")</f>
        <v>bien non durable</v>
      </c>
      <c r="M3146" s="1" t="s">
        <v>10</v>
      </c>
    </row>
    <row r="3147" spans="1:96" ht="14.25" customHeight="1" x14ac:dyDescent="0.3">
      <c r="A3147" s="1" t="s">
        <v>3288</v>
      </c>
      <c r="B3147" s="1" t="str">
        <f ca="1">IFERROR(__xludf.DUMMYFUNCTION("GOOGLETRANSLATE(A3147, ""en"", ""fr"")"),"aucun")</f>
        <v>aucun</v>
      </c>
      <c r="J3147" s="1" t="s">
        <v>7</v>
      </c>
    </row>
    <row r="3148" spans="1:96" ht="14.25" customHeight="1" x14ac:dyDescent="0.3">
      <c r="A3148" s="1" t="s">
        <v>3289</v>
      </c>
      <c r="B3148" s="1" t="str">
        <f ca="1">IFERROR(__xludf.DUMMYFUNCTION("GOOGLETRANSLATE(A3148, ""en"", ""fr"")"),"mâle non fermier")</f>
        <v>mâle non fermier</v>
      </c>
      <c r="M3148" s="1" t="s">
        <v>10</v>
      </c>
    </row>
    <row r="3149" spans="1:96" ht="14.25" customHeight="1" x14ac:dyDescent="0.3">
      <c r="A3149" s="1" t="s">
        <v>3290</v>
      </c>
      <c r="B3149" s="1" t="str">
        <f ca="1">IFERROR(__xludf.DUMMYFUNCTION("GOOGLETRANSLATE(A3149, ""en"", ""fr"")"),"Non fonctionnel")</f>
        <v>Non fonctionnel</v>
      </c>
      <c r="D3149" s="1" t="s">
        <v>4963</v>
      </c>
    </row>
    <row r="3150" spans="1:96" ht="14.25" customHeight="1" x14ac:dyDescent="0.3">
      <c r="A3150" s="1" t="s">
        <v>3291</v>
      </c>
      <c r="B3150" s="1" t="str">
        <f ca="1">IFERROR(__xludf.DUMMYFUNCTION("GOOGLETRANSLATE(A3150, ""en"", ""fr"")"),"dépenses non opérationnelles")</f>
        <v>dépenses non opérationnelles</v>
      </c>
      <c r="CR3150" s="1" t="s">
        <v>93</v>
      </c>
    </row>
    <row r="3151" spans="1:96" ht="14.25" customHeight="1" x14ac:dyDescent="0.3">
      <c r="A3151" s="1" t="s">
        <v>3292</v>
      </c>
      <c r="B3151" s="1" t="str">
        <f ca="1">IFERROR(__xludf.DUMMYFUNCTION("GOOGLETRANSLATE(A3151, ""en"", ""fr"")"),"revenu non opérationnel")</f>
        <v>revenu non opérationnel</v>
      </c>
      <c r="CR3151" s="1" t="s">
        <v>93</v>
      </c>
    </row>
    <row r="3152" spans="1:96" ht="14.25" customHeight="1" x14ac:dyDescent="0.3">
      <c r="A3152" s="1" t="s">
        <v>3293</v>
      </c>
      <c r="B3152" s="1" t="str">
        <f ca="1">IFERROR(__xludf.DUMMYFUNCTION("GOOGLETRANSLATE(A3152, ""en"", ""fr"")"),"Non-paiement")</f>
        <v>Non-paiement</v>
      </c>
      <c r="D3152" s="1" t="s">
        <v>4963</v>
      </c>
    </row>
    <row r="3153" spans="1:108" ht="14.25" customHeight="1" x14ac:dyDescent="0.3">
      <c r="A3153" s="1" t="s">
        <v>3294</v>
      </c>
      <c r="B3153" s="1" t="str">
        <f ca="1">IFERROR(__xludf.DUMMYFUNCTION("GOOGLETRANSLATE(A3153, ""en"", ""fr"")"),"Non-paiements")</f>
        <v>Non-paiements</v>
      </c>
      <c r="D3153" s="1" t="s">
        <v>4963</v>
      </c>
    </row>
    <row r="3154" spans="1:108" ht="14.25" customHeight="1" x14ac:dyDescent="0.3">
      <c r="A3154" s="1" t="s">
        <v>3295</v>
      </c>
      <c r="B3154" s="1" t="str">
        <f ca="1">IFERROR(__xludf.DUMMYFUNCTION("GOOGLETRANSLATE(A3154, ""en"", ""fr"")"),"Non-performance")</f>
        <v>Non-performance</v>
      </c>
      <c r="D3154" s="1" t="s">
        <v>4963</v>
      </c>
    </row>
    <row r="3155" spans="1:108" ht="14.25" customHeight="1" x14ac:dyDescent="0.3">
      <c r="A3155" s="1" t="s">
        <v>3296</v>
      </c>
      <c r="B3155" s="1" t="str">
        <f ca="1">IFERROR(__xludf.DUMMYFUNCTION("GOOGLETRANSLATE(A3155, ""en"", ""fr"")"),"Non-performances")</f>
        <v>Non-performances</v>
      </c>
      <c r="D3155" s="1" t="s">
        <v>4963</v>
      </c>
    </row>
    <row r="3156" spans="1:108" ht="14.25" customHeight="1" x14ac:dyDescent="0.3">
      <c r="A3156" s="1" t="s">
        <v>3297</v>
      </c>
      <c r="B3156" s="1" t="str">
        <f ca="1">IFERROR(__xludf.DUMMYFUNCTION("GOOGLETRANSLATE(A3156, ""en"", ""fr"")"),"Non performant")</f>
        <v>Non performant</v>
      </c>
      <c r="D3156" s="1" t="s">
        <v>4963</v>
      </c>
    </row>
    <row r="3157" spans="1:108" ht="14.25" customHeight="1" x14ac:dyDescent="0.3">
      <c r="A3157" s="1" t="s">
        <v>3298</v>
      </c>
      <c r="B3157" s="1" t="str">
        <f ca="1">IFERROR(__xludf.DUMMYFUNCTION("GOOGLETRANSLATE(A3157, ""en"", ""fr"")"),"Sans production")</f>
        <v>Sans production</v>
      </c>
      <c r="D3157" s="1" t="s">
        <v>4963</v>
      </c>
    </row>
    <row r="3158" spans="1:108" ht="14.25" customHeight="1" x14ac:dyDescent="0.3">
      <c r="A3158" s="1" t="s">
        <v>3299</v>
      </c>
      <c r="B3158" s="1" t="str">
        <f ca="1">IFERROR(__xludf.DUMMYFUNCTION("GOOGLETRANSLATE(A3158, ""en"", ""fr"")"),"Non productif")</f>
        <v>Non productif</v>
      </c>
      <c r="D3158" s="1" t="s">
        <v>4963</v>
      </c>
    </row>
    <row r="3159" spans="1:108" ht="14.25" customHeight="1" x14ac:dyDescent="0.3">
      <c r="A3159" s="1" t="s">
        <v>3300</v>
      </c>
      <c r="B3159" s="1" t="str">
        <f ca="1">IFERROR(__xludf.DUMMYFUNCTION("GOOGLETRANSLATE(A3159, ""en"", ""fr"")"),"Non découverte")</f>
        <v>Non découverte</v>
      </c>
      <c r="D3159" s="1" t="s">
        <v>4963</v>
      </c>
    </row>
    <row r="3160" spans="1:108" ht="14.25" customHeight="1" x14ac:dyDescent="0.3">
      <c r="A3160" s="1" t="s">
        <v>3301</v>
      </c>
      <c r="B3160" s="1" t="str">
        <f ca="1">IFERROR(__xludf.DUMMYFUNCTION("GOOGLETRANSLATE(A3160, ""en"", ""fr"")"),"Non renouvelable")</f>
        <v>Non renouvelable</v>
      </c>
      <c r="D3160" s="1" t="s">
        <v>4963</v>
      </c>
    </row>
    <row r="3161" spans="1:108" ht="14.25" customHeight="1" x14ac:dyDescent="0.3">
      <c r="A3161" s="1" t="s">
        <v>3302</v>
      </c>
      <c r="B3161" s="1" t="str">
        <f ca="1">IFERROR(__xludf.DUMMYFUNCTION("GOOGLETRANSLATE(A3161, ""en"", ""fr"")"),"ni")</f>
        <v>ni</v>
      </c>
      <c r="J3161" s="1" t="s">
        <v>7</v>
      </c>
    </row>
    <row r="3162" spans="1:108" ht="14.25" customHeight="1" x14ac:dyDescent="0.3">
      <c r="A3162" s="1" t="s">
        <v>3303</v>
      </c>
      <c r="B3162" s="1" t="str">
        <f ca="1">IFERROR(__xludf.DUMMYFUNCTION("GOOGLETRANSLATE(A3162, ""en"", ""fr"")"),"Norne")</f>
        <v>Norne</v>
      </c>
      <c r="R3162" s="1" t="s">
        <v>15</v>
      </c>
      <c r="CS3162" s="1" t="s">
        <v>94</v>
      </c>
    </row>
    <row r="3163" spans="1:108" ht="14.25" customHeight="1" x14ac:dyDescent="0.3">
      <c r="A3163" s="1" t="s">
        <v>3304</v>
      </c>
      <c r="B3163" s="1" t="str">
        <f ca="1">IFERROR(__xludf.DUMMYFUNCTION("GOOGLETRANSLATE(A3163, ""en"", ""fr"")"),"bassin du nord du Caucase")</f>
        <v>bassin du nord du Caucase</v>
      </c>
      <c r="AK3163" s="1" t="s">
        <v>34</v>
      </c>
      <c r="BH3163" s="1" t="s">
        <v>57</v>
      </c>
      <c r="BW3163" s="1" t="s">
        <v>72</v>
      </c>
      <c r="DD3163" s="1" t="s">
        <v>105</v>
      </c>
    </row>
    <row r="3164" spans="1:108" ht="14.25" customHeight="1" x14ac:dyDescent="0.3">
      <c r="A3164" s="1" t="s">
        <v>3305</v>
      </c>
      <c r="B3164" s="1" t="str">
        <f ca="1">IFERROR(__xludf.DUMMYFUNCTION("GOOGLETRANSLATE(A3164, ""en"", ""fr"")"),"Dolginskoye nord")</f>
        <v>Dolginskoye nord</v>
      </c>
      <c r="AK3164" s="1" t="s">
        <v>34</v>
      </c>
      <c r="BH3164" s="1" t="s">
        <v>57</v>
      </c>
      <c r="BW3164" s="1" t="s">
        <v>72</v>
      </c>
      <c r="DD3164" s="1" t="s">
        <v>105</v>
      </c>
    </row>
    <row r="3165" spans="1:108" ht="14.25" customHeight="1" x14ac:dyDescent="0.3">
      <c r="A3165" s="1" t="s">
        <v>3306</v>
      </c>
      <c r="B3165" s="1" t="str">
        <f ca="1">IFERROR(__xludf.DUMMYFUNCTION("GOOGLETRANSLATE(A3165, ""en"", ""fr"")"),"Condensat d'étagère nord-ouest")</f>
        <v>Condensat d'étagère nord-ouest</v>
      </c>
      <c r="R3165" s="1" t="s">
        <v>15</v>
      </c>
      <c r="CS3165" s="1" t="s">
        <v>94</v>
      </c>
    </row>
    <row r="3166" spans="1:108" ht="14.25" customHeight="1" x14ac:dyDescent="0.3">
      <c r="A3166" s="1" t="s">
        <v>3307</v>
      </c>
      <c r="B3166" s="1" t="str">
        <f ca="1">IFERROR(__xludf.DUMMYFUNCTION("GOOGLETRANSLATE(A3166, ""en"", ""fr"")"),"pas")</f>
        <v>pas</v>
      </c>
      <c r="J3166" s="1" t="s">
        <v>7</v>
      </c>
    </row>
    <row r="3167" spans="1:108" ht="14.25" customHeight="1" x14ac:dyDescent="0.3">
      <c r="A3167" s="1" t="s">
        <v>3308</v>
      </c>
      <c r="B3167" s="1" t="str">
        <f ca="1">IFERROR(__xludf.DUMMYFUNCTION("GOOGLETRANSLATE(A3167, ""en"", ""fr"")"),"nov")</f>
        <v>nov</v>
      </c>
      <c r="J3167" s="1" t="s">
        <v>7</v>
      </c>
    </row>
    <row r="3168" spans="1:108" ht="14.25" customHeight="1" x14ac:dyDescent="0.3">
      <c r="A3168" s="1" t="s">
        <v>3309</v>
      </c>
      <c r="B3168" s="1" t="str">
        <f ca="1">IFERROR(__xludf.DUMMYFUNCTION("GOOGLETRANSLATE(A3168, ""en"", ""fr"")"),"novembre")</f>
        <v>novembre</v>
      </c>
      <c r="J3168" s="1" t="s">
        <v>7</v>
      </c>
    </row>
    <row r="3169" spans="1:132" ht="14.25" customHeight="1" x14ac:dyDescent="0.3">
      <c r="A3169" s="1" t="s">
        <v>3310</v>
      </c>
      <c r="B3169" s="1" t="str">
        <f ca="1">IFERROR(__xludf.DUMMYFUNCTION("GOOGLETRANSLATE(A3169, ""en"", ""fr"")"),"novoil")</f>
        <v>novoil</v>
      </c>
      <c r="V3169" s="1" t="s">
        <v>19</v>
      </c>
      <c r="BL3169" s="1" t="s">
        <v>61</v>
      </c>
      <c r="DT3169" s="1" t="s">
        <v>121</v>
      </c>
    </row>
    <row r="3170" spans="1:132" ht="14.25" customHeight="1" x14ac:dyDescent="0.3">
      <c r="A3170" s="1" t="s">
        <v>3311</v>
      </c>
      <c r="B3170" s="1" t="str">
        <f ca="1">IFERROR(__xludf.DUMMYFUNCTION("GOOGLETRANSLATE(A3170, ""en"", ""fr"")"),"raffinerie Novo-ufa")</f>
        <v>raffinerie Novo-ufa</v>
      </c>
      <c r="V3170" s="1" t="s">
        <v>19</v>
      </c>
      <c r="BF3170" s="1" t="s">
        <v>55</v>
      </c>
      <c r="BL3170" s="1" t="s">
        <v>61</v>
      </c>
      <c r="EB3170" s="1" t="s">
        <v>129</v>
      </c>
    </row>
    <row r="3171" spans="1:132" ht="14.25" customHeight="1" x14ac:dyDescent="0.3">
      <c r="A3171" s="1" t="s">
        <v>3312</v>
      </c>
      <c r="B3171" s="1" t="str">
        <f ca="1">IFERROR(__xludf.DUMMYFUNCTION("GOOGLETRANSLATE(A3171, ""en"", ""fr"")"),"maintenant")</f>
        <v>maintenant</v>
      </c>
      <c r="J3171" s="1" t="s">
        <v>7</v>
      </c>
    </row>
    <row r="3172" spans="1:132" ht="14.25" customHeight="1" x14ac:dyDescent="0.3">
      <c r="A3172" s="1" t="s">
        <v>3313</v>
      </c>
      <c r="B3172" s="1" t="str">
        <f ca="1">IFERROR(__xludf.DUMMYFUNCTION("GOOGLETRANSLATE(A3172, ""en"", ""fr"")"),"Nowruz")</f>
        <v>Nowruz</v>
      </c>
      <c r="R3172" s="1" t="s">
        <v>15</v>
      </c>
      <c r="CS3172" s="1" t="s">
        <v>94</v>
      </c>
    </row>
    <row r="3173" spans="1:132" ht="14.25" customHeight="1" x14ac:dyDescent="0.3">
      <c r="A3173" s="1" t="s">
        <v>3314</v>
      </c>
      <c r="B3173" s="1" t="str">
        <f ca="1">IFERROR(__xludf.DUMMYFUNCTION("GOOGLETRANSLATE(A3173, ""en"", ""fr"")"),"NPV")</f>
        <v>NPV</v>
      </c>
      <c r="CR3173" s="1" t="s">
        <v>93</v>
      </c>
    </row>
    <row r="3174" spans="1:132" ht="14.25" customHeight="1" x14ac:dyDescent="0.3">
      <c r="A3174" s="1" t="s">
        <v>3315</v>
      </c>
      <c r="B3174" s="1" t="str">
        <f ca="1">IFERROR(__xludf.DUMMYFUNCTION("GOOGLETRANSLATE(A3174, ""en"", ""fr"")"),"NUISANCE")</f>
        <v>NUISANCE</v>
      </c>
      <c r="D3174" s="1" t="s">
        <v>4963</v>
      </c>
    </row>
    <row r="3175" spans="1:132" ht="14.25" customHeight="1" x14ac:dyDescent="0.3">
      <c r="A3175" s="1" t="s">
        <v>3316</v>
      </c>
      <c r="B3175" s="1" t="str">
        <f ca="1">IFERROR(__xludf.DUMMYFUNCTION("GOOGLETRANSLATE(A3175, ""en"", ""fr"")"),"Nuisances")</f>
        <v>Nuisances</v>
      </c>
      <c r="D3175" s="1" t="s">
        <v>4963</v>
      </c>
    </row>
    <row r="3176" spans="1:132" ht="14.25" customHeight="1" x14ac:dyDescent="0.3">
      <c r="A3176" s="1" t="s">
        <v>3317</v>
      </c>
      <c r="B3176" s="1" t="str">
        <f ca="1">IFERROR(__xludf.DUMMYFUNCTION("GOOGLETRANSLATE(A3176, ""en"", ""fr"")"),"Annulation")</f>
        <v>Annulation</v>
      </c>
      <c r="D3176" s="1" t="s">
        <v>4963</v>
      </c>
    </row>
    <row r="3177" spans="1:132" ht="14.25" customHeight="1" x14ac:dyDescent="0.3">
      <c r="A3177" s="1" t="s">
        <v>3318</v>
      </c>
      <c r="B3177" s="1" t="str">
        <f ca="1">IFERROR(__xludf.DUMMYFUNCTION("GOOGLETRANSLATE(A3177, ""en"", ""fr"")"),"Nullifications")</f>
        <v>Nullifications</v>
      </c>
      <c r="D3177" s="1" t="s">
        <v>4963</v>
      </c>
    </row>
    <row r="3178" spans="1:132" ht="14.25" customHeight="1" x14ac:dyDescent="0.3">
      <c r="A3178" s="1" t="s">
        <v>3319</v>
      </c>
      <c r="B3178" s="1" t="str">
        <f ca="1">IFERROR(__xludf.DUMMYFUNCTION("GOOGLETRANSLATE(A3178, ""en"", ""fr"")"),"Annulé")</f>
        <v>Annulé</v>
      </c>
      <c r="D3178" s="1" t="s">
        <v>4963</v>
      </c>
    </row>
    <row r="3179" spans="1:132" ht="14.25" customHeight="1" x14ac:dyDescent="0.3">
      <c r="A3179" s="1" t="s">
        <v>3320</v>
      </c>
      <c r="B3179" s="1" t="str">
        <f ca="1">IFERROR(__xludf.DUMMYFUNCTION("GOOGLETRANSLATE(A3179, ""en"", ""fr"")"),"Annuler")</f>
        <v>Annuler</v>
      </c>
      <c r="D3179" s="1" t="s">
        <v>4963</v>
      </c>
    </row>
    <row r="3180" spans="1:132" ht="14.25" customHeight="1" x14ac:dyDescent="0.3">
      <c r="A3180" s="1" t="s">
        <v>3321</v>
      </c>
      <c r="B3180" s="1" t="str">
        <f ca="1">IFERROR(__xludf.DUMMYFUNCTION("GOOGLETRANSLATE(A3180, ""en"", ""fr"")"),"ANNULER")</f>
        <v>ANNULER</v>
      </c>
      <c r="D3180" s="1" t="s">
        <v>4963</v>
      </c>
    </row>
    <row r="3181" spans="1:132" ht="14.25" customHeight="1" x14ac:dyDescent="0.3">
      <c r="A3181" s="1" t="s">
        <v>3322</v>
      </c>
      <c r="B3181" s="1" t="str">
        <f ca="1">IFERROR(__xludf.DUMMYFUNCTION("GOOGLETRANSLATE(A3181, ""en"", ""fr"")"),"Annulé")</f>
        <v>Annulé</v>
      </c>
      <c r="D3181" s="1" t="s">
        <v>4963</v>
      </c>
    </row>
    <row r="3182" spans="1:132" ht="14.25" customHeight="1" x14ac:dyDescent="0.3">
      <c r="A3182" s="1" t="s">
        <v>3323</v>
      </c>
      <c r="B3182" s="1" t="str">
        <f ca="1">IFERROR(__xludf.DUMMYFUNCTION("GOOGLETRANSLATE(A3182, ""en"", ""fr"")"),"infirmière")</f>
        <v>infirmière</v>
      </c>
      <c r="AK3182" s="1" t="s">
        <v>34</v>
      </c>
      <c r="CB3182" s="1" t="s">
        <v>77</v>
      </c>
      <c r="DD3182" s="1" t="s">
        <v>105</v>
      </c>
    </row>
    <row r="3183" spans="1:132" ht="14.25" customHeight="1" x14ac:dyDescent="0.3">
      <c r="A3183" s="1" t="s">
        <v>3324</v>
      </c>
      <c r="B3183" s="1" t="str">
        <f ca="1">IFERROR(__xludf.DUMMYFUNCTION("GOOGLETRANSLATE(A3183, ""en"", ""fr"")"),"Index de fabrication de l'Empire NY")</f>
        <v>Index de fabrication de l'Empire NY</v>
      </c>
      <c r="M3183" s="1" t="s">
        <v>10</v>
      </c>
    </row>
    <row r="3184" spans="1:132" ht="14.25" customHeight="1" x14ac:dyDescent="0.3">
      <c r="A3184" s="1" t="s">
        <v>3325</v>
      </c>
      <c r="B3184" s="1" t="str">
        <f ca="1">IFERROR(__xludf.DUMMYFUNCTION("GOOGLETRANSLATE(A3184, ""en"", ""fr"")"),"obamanomique")</f>
        <v>obamanomique</v>
      </c>
      <c r="M3184" s="1" t="s">
        <v>10</v>
      </c>
    </row>
    <row r="3185" spans="1:4" ht="14.25" customHeight="1" x14ac:dyDescent="0.3">
      <c r="A3185" s="1" t="s">
        <v>3326</v>
      </c>
      <c r="B3185" s="1" t="str">
        <f ca="1">IFERROR(__xludf.DUMMYFUNCTION("GOOGLETRANSLATE(A3185, ""en"", ""fr"")"),"Objet")</f>
        <v>Objet</v>
      </c>
      <c r="D3185" s="1" t="s">
        <v>4963</v>
      </c>
    </row>
    <row r="3186" spans="1:4" ht="14.25" customHeight="1" x14ac:dyDescent="0.3">
      <c r="A3186" s="1" t="s">
        <v>3327</v>
      </c>
      <c r="B3186" s="1" t="str">
        <f ca="1">IFERROR(__xludf.DUMMYFUNCTION("GOOGLETRANSLATE(A3186, ""en"", ""fr"")"),"Objectif")</f>
        <v>Objectif</v>
      </c>
      <c r="D3186" s="1" t="s">
        <v>4963</v>
      </c>
    </row>
    <row r="3187" spans="1:4" ht="14.25" customHeight="1" x14ac:dyDescent="0.3">
      <c r="A3187" s="1" t="s">
        <v>3328</v>
      </c>
      <c r="B3187" s="1" t="str">
        <f ca="1">IFERROR(__xludf.DUMMYFUNCTION("GOOGLETRANSLATE(A3187, ""en"", ""fr"")"),"OBJECTION")</f>
        <v>OBJECTION</v>
      </c>
      <c r="D3187" s="1" t="s">
        <v>4963</v>
      </c>
    </row>
    <row r="3188" spans="1:4" ht="14.25" customHeight="1" x14ac:dyDescent="0.3">
      <c r="A3188" s="1" t="s">
        <v>3329</v>
      </c>
      <c r="B3188" s="1" t="str">
        <f ca="1">IFERROR(__xludf.DUMMYFUNCTION("GOOGLETRANSLATE(A3188, ""en"", ""fr"")"),"RÉPRÉHENSIBLE")</f>
        <v>RÉPRÉHENSIBLE</v>
      </c>
      <c r="D3188" s="1" t="s">
        <v>4963</v>
      </c>
    </row>
    <row r="3189" spans="1:4" ht="14.25" customHeight="1" x14ac:dyDescent="0.3">
      <c r="A3189" s="1" t="s">
        <v>3330</v>
      </c>
      <c r="B3189" s="1" t="str">
        <f ca="1">IFERROR(__xludf.DUMMYFUNCTION("GOOGLETRANSLATE(A3189, ""en"", ""fr"")"),"De façon répréhensible")</f>
        <v>De façon répréhensible</v>
      </c>
      <c r="D3189" s="1" t="s">
        <v>4963</v>
      </c>
    </row>
    <row r="3190" spans="1:4" ht="14.25" customHeight="1" x14ac:dyDescent="0.3">
      <c r="A3190" s="1" t="s">
        <v>3331</v>
      </c>
      <c r="B3190" s="1" t="str">
        <f ca="1">IFERROR(__xludf.DUMMYFUNCTION("GOOGLETRANSLATE(A3190, ""en"", ""fr"")"),"Objections")</f>
        <v>Objections</v>
      </c>
      <c r="D3190" s="1" t="s">
        <v>4963</v>
      </c>
    </row>
    <row r="3191" spans="1:4" ht="14.25" customHeight="1" x14ac:dyDescent="0.3">
      <c r="A3191" s="1" t="s">
        <v>3332</v>
      </c>
      <c r="B3191" s="1" t="str">
        <f ca="1">IFERROR(__xludf.DUMMYFUNCTION("GOOGLETRANSLATE(A3191, ""en"", ""fr"")"),"OBSCÈNE")</f>
        <v>OBSCÈNE</v>
      </c>
      <c r="D3191" s="1" t="s">
        <v>4963</v>
      </c>
    </row>
    <row r="3192" spans="1:4" ht="14.25" customHeight="1" x14ac:dyDescent="0.3">
      <c r="A3192" s="1" t="s">
        <v>3333</v>
      </c>
      <c r="B3192" s="1" t="str">
        <f ca="1">IFERROR(__xludf.DUMMYFUNCTION("GOOGLETRANSLATE(A3192, ""en"", ""fr"")"),"OBSCÉNITÉ")</f>
        <v>OBSCÉNITÉ</v>
      </c>
      <c r="D3192" s="1" t="s">
        <v>4963</v>
      </c>
    </row>
    <row r="3193" spans="1:4" ht="14.25" customHeight="1" x14ac:dyDescent="0.3">
      <c r="A3193" s="1" t="s">
        <v>3334</v>
      </c>
      <c r="B3193" s="1" t="str">
        <f ca="1">IFERROR(__xludf.DUMMYFUNCTION("GOOGLETRANSLATE(A3193, ""en"", ""fr"")"),"OBSOLESCENCE")</f>
        <v>OBSOLESCENCE</v>
      </c>
      <c r="D3193" s="1" t="s">
        <v>4963</v>
      </c>
    </row>
    <row r="3194" spans="1:4" ht="14.25" customHeight="1" x14ac:dyDescent="0.3">
      <c r="A3194" s="1" t="s">
        <v>3335</v>
      </c>
      <c r="B3194" s="1" t="str">
        <f ca="1">IFERROR(__xludf.DUMMYFUNCTION("GOOGLETRANSLATE(A3194, ""en"", ""fr"")"),"OBSOLÈTE")</f>
        <v>OBSOLÈTE</v>
      </c>
      <c r="D3194" s="1" t="s">
        <v>4963</v>
      </c>
    </row>
    <row r="3195" spans="1:4" ht="14.25" customHeight="1" x14ac:dyDescent="0.3">
      <c r="A3195" s="1" t="s">
        <v>3336</v>
      </c>
      <c r="B3195" s="1" t="str">
        <f ca="1">IFERROR(__xludf.DUMMYFUNCTION("GOOGLETRANSLATE(A3195, ""en"", ""fr"")"),"OBSTACLE")</f>
        <v>OBSTACLE</v>
      </c>
      <c r="D3195" s="1" t="s">
        <v>4963</v>
      </c>
    </row>
    <row r="3196" spans="1:4" ht="14.25" customHeight="1" x14ac:dyDescent="0.3">
      <c r="A3196" s="1" t="s">
        <v>3337</v>
      </c>
      <c r="B3196" s="1" t="str">
        <f ca="1">IFERROR(__xludf.DUMMYFUNCTION("GOOGLETRANSLATE(A3196, ""en"", ""fr"")"),"OBSTACLES")</f>
        <v>OBSTACLES</v>
      </c>
      <c r="D3196" s="1" t="s">
        <v>4963</v>
      </c>
    </row>
    <row r="3197" spans="1:4" ht="14.25" customHeight="1" x14ac:dyDescent="0.3">
      <c r="A3197" s="1" t="s">
        <v>3338</v>
      </c>
      <c r="B3197" s="1" t="str">
        <f ca="1">IFERROR(__xludf.DUMMYFUNCTION("GOOGLETRANSLATE(A3197, ""en"", ""fr"")"),"OBSTRUER")</f>
        <v>OBSTRUER</v>
      </c>
      <c r="D3197" s="1" t="s">
        <v>4963</v>
      </c>
    </row>
    <row r="3198" spans="1:4" ht="14.25" customHeight="1" x14ac:dyDescent="0.3">
      <c r="A3198" s="1" t="s">
        <v>3339</v>
      </c>
      <c r="B3198" s="1" t="str">
        <f ca="1">IFERROR(__xludf.DUMMYFUNCTION("GOOGLETRANSLATE(A3198, ""en"", ""fr"")"),"Obstrué")</f>
        <v>Obstrué</v>
      </c>
      <c r="D3198" s="1" t="s">
        <v>4963</v>
      </c>
    </row>
    <row r="3199" spans="1:4" ht="14.25" customHeight="1" x14ac:dyDescent="0.3">
      <c r="A3199" s="1" t="s">
        <v>3340</v>
      </c>
      <c r="B3199" s="1" t="str">
        <f ca="1">IFERROR(__xludf.DUMMYFUNCTION("GOOGLETRANSLATE(A3199, ""en"", ""fr"")"),"Obstruant")</f>
        <v>Obstruant</v>
      </c>
      <c r="D3199" s="1" t="s">
        <v>4963</v>
      </c>
    </row>
    <row r="3200" spans="1:4" ht="14.25" customHeight="1" x14ac:dyDescent="0.3">
      <c r="A3200" s="1" t="s">
        <v>3341</v>
      </c>
      <c r="B3200" s="1" t="str">
        <f ca="1">IFERROR(__xludf.DUMMYFUNCTION("GOOGLETRANSLATE(A3200, ""en"", ""fr"")"),"OBSTRUCTION")</f>
        <v>OBSTRUCTION</v>
      </c>
      <c r="D3200" s="1" t="s">
        <v>4963</v>
      </c>
    </row>
    <row r="3201" spans="1:108" ht="14.25" customHeight="1" x14ac:dyDescent="0.3">
      <c r="A3201" s="1" t="s">
        <v>3342</v>
      </c>
      <c r="B3201" s="1" t="str">
        <f ca="1">IFERROR(__xludf.DUMMYFUNCTION("GOOGLETRANSLATE(A3201, ""en"", ""fr"")"),"Obstructions")</f>
        <v>Obstructions</v>
      </c>
      <c r="D3201" s="1" t="s">
        <v>4963</v>
      </c>
    </row>
    <row r="3202" spans="1:108" ht="14.25" customHeight="1" x14ac:dyDescent="0.3">
      <c r="A3202" s="1" t="s">
        <v>3343</v>
      </c>
      <c r="B3202" s="1" t="str">
        <f ca="1">IFERROR(__xludf.DUMMYFUNCTION("GOOGLETRANSLATE(A3202, ""en"", ""fr"")"),"octobre")</f>
        <v>octobre</v>
      </c>
      <c r="J3202" s="1" t="s">
        <v>7</v>
      </c>
    </row>
    <row r="3203" spans="1:108" ht="14.25" customHeight="1" x14ac:dyDescent="0.3">
      <c r="A3203" s="1" t="s">
        <v>3344</v>
      </c>
      <c r="B3203" s="1" t="str">
        <f ca="1">IFERROR(__xludf.DUMMYFUNCTION("GOOGLETRANSLATE(A3203, ""en"", ""fr"")"),"numéro d'octane")</f>
        <v>numéro d'octane</v>
      </c>
      <c r="CS3203" s="1" t="s">
        <v>94</v>
      </c>
    </row>
    <row r="3204" spans="1:108" ht="14.25" customHeight="1" x14ac:dyDescent="0.3">
      <c r="A3204" s="1" t="s">
        <v>3345</v>
      </c>
      <c r="B3204" s="1" t="str">
        <f ca="1">IFERROR(__xludf.DUMMYFUNCTION("GOOGLETRANSLATE(A3204, ""en"", ""fr"")"),"octobre")</f>
        <v>octobre</v>
      </c>
      <c r="J3204" s="1" t="s">
        <v>7</v>
      </c>
    </row>
    <row r="3205" spans="1:108" ht="14.25" customHeight="1" x14ac:dyDescent="0.3">
      <c r="A3205" s="1" t="s">
        <v>3346</v>
      </c>
      <c r="B3205" s="1" t="str">
        <f ca="1">IFERROR(__xludf.DUMMYFUNCTION("GOOGLETRANSLATE(A3205, ""en"", ""fr"")"),"odoptu")</f>
        <v>odoptu</v>
      </c>
      <c r="AK3205" s="1" t="s">
        <v>34</v>
      </c>
      <c r="BH3205" s="1" t="s">
        <v>57</v>
      </c>
      <c r="BW3205" s="1" t="s">
        <v>72</v>
      </c>
      <c r="DD3205" s="1" t="s">
        <v>105</v>
      </c>
    </row>
    <row r="3206" spans="1:108" ht="14.25" customHeight="1" x14ac:dyDescent="0.3">
      <c r="A3206" s="1" t="s">
        <v>3347</v>
      </c>
      <c r="B3206" s="1" t="str">
        <f ca="1">IFERROR(__xludf.DUMMYFUNCTION("GOOGLETRANSLATE(A3206, ""en"", ""fr"")"),"Odorant")</f>
        <v>Odorant</v>
      </c>
      <c r="E3206" s="1" t="s">
        <v>3</v>
      </c>
    </row>
    <row r="3207" spans="1:108" ht="14.25" customHeight="1" x14ac:dyDescent="0.3">
      <c r="A3207" s="1" t="s">
        <v>3348</v>
      </c>
      <c r="B3207" s="1" t="str">
        <f ca="1">IFERROR(__xludf.DUMMYFUNCTION("GOOGLETRANSLATE(A3207, ""en"", ""fr"")"),"Odudu")</f>
        <v>Odudu</v>
      </c>
      <c r="R3207" s="1" t="s">
        <v>15</v>
      </c>
      <c r="CS3207" s="1" t="s">
        <v>94</v>
      </c>
    </row>
    <row r="3208" spans="1:108" ht="14.25" customHeight="1" x14ac:dyDescent="0.3">
      <c r="A3208" s="1" t="s">
        <v>3349</v>
      </c>
      <c r="B3208" s="1" t="str">
        <f ca="1">IFERROR(__xludf.DUMMYFUNCTION("GOOGLETRANSLATE(A3208, ""en"", ""fr"")"),"OCDE")</f>
        <v>OCDE</v>
      </c>
      <c r="M3208" s="1" t="s">
        <v>10</v>
      </c>
    </row>
    <row r="3209" spans="1:108" ht="14.25" customHeight="1" x14ac:dyDescent="0.3">
      <c r="A3209" s="1" t="s">
        <v>3350</v>
      </c>
      <c r="B3209" s="1" t="str">
        <f ca="1">IFERROR(__xludf.DUMMYFUNCTION("GOOGLETRANSLATE(A3209, ""en"", ""fr"")"),"de")</f>
        <v>de</v>
      </c>
      <c r="J3209" s="1" t="s">
        <v>7</v>
      </c>
    </row>
    <row r="3210" spans="1:108" ht="14.25" customHeight="1" x14ac:dyDescent="0.3">
      <c r="A3210" s="1" t="s">
        <v>3351</v>
      </c>
      <c r="B3210" s="1" t="str">
        <f ca="1">IFERROR(__xludf.DUMMYFUNCTION("GOOGLETRANSLATE(A3210, ""en"", ""fr"")"),"INFRACTION")</f>
        <v>INFRACTION</v>
      </c>
      <c r="D3210" s="1" t="s">
        <v>4963</v>
      </c>
    </row>
    <row r="3211" spans="1:108" ht="14.25" customHeight="1" x14ac:dyDescent="0.3">
      <c r="A3211" s="1" t="s">
        <v>3352</v>
      </c>
      <c r="B3211" s="1" t="str">
        <f ca="1">IFERROR(__xludf.DUMMYFUNCTION("GOOGLETRANSLATE(A3211, ""en"", ""fr"")"),"Infractions")</f>
        <v>Infractions</v>
      </c>
      <c r="D3211" s="1" t="s">
        <v>4963</v>
      </c>
    </row>
    <row r="3212" spans="1:108" ht="14.25" customHeight="1" x14ac:dyDescent="0.3">
      <c r="A3212" s="1" t="s">
        <v>3353</v>
      </c>
      <c r="B3212" s="1" t="str">
        <f ca="1">IFERROR(__xludf.DUMMYFUNCTION("GOOGLETRANSLATE(A3212, ""en"", ""fr"")"),"OFFENSER")</f>
        <v>OFFENSER</v>
      </c>
      <c r="D3212" s="1" t="s">
        <v>4963</v>
      </c>
    </row>
    <row r="3213" spans="1:108" ht="14.25" customHeight="1" x14ac:dyDescent="0.3">
      <c r="A3213" s="1" t="s">
        <v>3354</v>
      </c>
      <c r="B3213" s="1" t="str">
        <f ca="1">IFERROR(__xludf.DUMMYFUNCTION("GOOGLETRANSLATE(A3213, ""en"", ""fr"")"),"Offensé")</f>
        <v>Offensé</v>
      </c>
      <c r="D3213" s="1" t="s">
        <v>4963</v>
      </c>
    </row>
    <row r="3214" spans="1:108" ht="14.25" customHeight="1" x14ac:dyDescent="0.3">
      <c r="A3214" s="1" t="s">
        <v>3355</v>
      </c>
      <c r="B3214" s="1" t="str">
        <f ca="1">IFERROR(__xludf.DUMMYFUNCTION("GOOGLETRANSLATE(A3214, ""en"", ""fr"")"),"DÉLINQUANT")</f>
        <v>DÉLINQUANT</v>
      </c>
      <c r="D3214" s="1" t="s">
        <v>4963</v>
      </c>
    </row>
    <row r="3215" spans="1:108" ht="14.25" customHeight="1" x14ac:dyDescent="0.3">
      <c r="A3215" s="1" t="s">
        <v>3356</v>
      </c>
      <c r="B3215" s="1" t="str">
        <f ca="1">IFERROR(__xludf.DUMMYFUNCTION("GOOGLETRANSLATE(A3215, ""en"", ""fr"")"),"Délinquants")</f>
        <v>Délinquants</v>
      </c>
      <c r="D3215" s="1" t="s">
        <v>4963</v>
      </c>
    </row>
    <row r="3216" spans="1:108" ht="14.25" customHeight="1" x14ac:dyDescent="0.3">
      <c r="A3216" s="1" t="s">
        <v>3357</v>
      </c>
      <c r="B3216" s="1" t="str">
        <f ca="1">IFERROR(__xludf.DUMMYFUNCTION("GOOGLETRANSLATE(A3216, ""en"", ""fr"")"),"INCRIMINÉ")</f>
        <v>INCRIMINÉ</v>
      </c>
      <c r="D3216" s="1" t="s">
        <v>4963</v>
      </c>
    </row>
    <row r="3217" spans="1:97" ht="14.25" customHeight="1" x14ac:dyDescent="0.3">
      <c r="A3217" s="1" t="s">
        <v>3358</v>
      </c>
      <c r="B3217" s="1" t="str">
        <f ca="1">IFERROR(__xludf.DUMMYFUNCTION("GOOGLETRANSLATE(A3217, ""en"", ""fr"")"),"Offense")</f>
        <v>Offense</v>
      </c>
      <c r="D3217" s="1" t="s">
        <v>4963</v>
      </c>
    </row>
    <row r="3218" spans="1:97" ht="14.25" customHeight="1" x14ac:dyDescent="0.3">
      <c r="A3218" s="1" t="s">
        <v>3359</v>
      </c>
      <c r="B3218" s="1" t="str">
        <f ca="1">IFERROR(__xludf.DUMMYFUNCTION("GOOGLETRANSLATE(A3218, ""en"", ""fr"")"),"Bureau de la stabilité financière")</f>
        <v>Bureau de la stabilité financière</v>
      </c>
      <c r="M3218" s="1" t="s">
        <v>10</v>
      </c>
    </row>
    <row r="3219" spans="1:97" ht="14.25" customHeight="1" x14ac:dyDescent="0.3">
      <c r="A3219" s="1" t="s">
        <v>3360</v>
      </c>
      <c r="B3219" s="1" t="str">
        <f ca="1">IFERROR(__xludf.DUMMYFUNCTION("GOOGLETRANSLATE(A3219, ""en"", ""fr"")"),"Compte officiel des règlements")</f>
        <v>Compte officiel des règlements</v>
      </c>
      <c r="M3219" s="1" t="s">
        <v>10</v>
      </c>
    </row>
    <row r="3220" spans="1:97" ht="14.25" customHeight="1" x14ac:dyDescent="0.3">
      <c r="A3220" s="1" t="s">
        <v>3361</v>
      </c>
      <c r="B3220" s="1" t="str">
        <f ca="1">IFERROR(__xludf.DUMMYFUNCTION("GOOGLETRANSLATE(A3220, ""en"", ""fr"")"),"offshore")</f>
        <v>offshore</v>
      </c>
      <c r="CS3220" s="1" t="s">
        <v>94</v>
      </c>
    </row>
    <row r="3221" spans="1:97" ht="14.25" customHeight="1" x14ac:dyDescent="0.3">
      <c r="A3221" s="1" t="s">
        <v>3362</v>
      </c>
      <c r="B3221" s="1" t="str">
        <f ca="1">IFERROR(__xludf.DUMMYFUNCTION("GOOGLETRANSLATE(A3221, ""en"", ""fr"")"),"bloc d'huile offshore")</f>
        <v>bloc d'huile offshore</v>
      </c>
      <c r="AY3221" s="1" t="s">
        <v>48</v>
      </c>
      <c r="CS3221" s="1" t="s">
        <v>94</v>
      </c>
    </row>
    <row r="3222" spans="1:97" ht="14.25" customHeight="1" x14ac:dyDescent="0.3">
      <c r="A3222" s="1" t="s">
        <v>3363</v>
      </c>
      <c r="B3222" s="1" t="str">
        <f ca="1">IFERROR(__xludf.DUMMYFUNCTION("GOOGLETRANSLATE(A3222, ""en"", ""fr"")"),"blocs d'huile offshore")</f>
        <v>blocs d'huile offshore</v>
      </c>
      <c r="AY3222" s="1" t="s">
        <v>48</v>
      </c>
      <c r="CS3222" s="1" t="s">
        <v>94</v>
      </c>
    </row>
    <row r="3223" spans="1:97" ht="14.25" customHeight="1" x14ac:dyDescent="0.3">
      <c r="A3223" s="1" t="s">
        <v>3364</v>
      </c>
      <c r="B3223" s="1" t="str">
        <f ca="1">IFERROR(__xludf.DUMMYFUNCTION("GOOGLETRANSLATE(A3223, ""en"", ""fr"")"),"Nomenclature de chargement d'huile offshore")</f>
        <v>Nomenclature de chargement d'huile offshore</v>
      </c>
      <c r="E3223" s="1" t="s">
        <v>3</v>
      </c>
    </row>
    <row r="3224" spans="1:97" ht="14.25" customHeight="1" x14ac:dyDescent="0.3">
      <c r="A3224" s="1" t="s">
        <v>3365</v>
      </c>
      <c r="B3224" s="1" t="str">
        <f ca="1">IFERROR(__xludf.DUMMYFUNCTION("GOOGLETRANSLATE(A3224, ""en"", ""fr"")"),"plate-forme pétrolière offshore")</f>
        <v>plate-forme pétrolière offshore</v>
      </c>
      <c r="CS3224" s="1" t="s">
        <v>94</v>
      </c>
    </row>
    <row r="3225" spans="1:97" ht="14.25" customHeight="1" x14ac:dyDescent="0.3">
      <c r="A3225" s="1" t="s">
        <v>3366</v>
      </c>
      <c r="B3225" s="1" t="str">
        <f ca="1">IFERROR(__xludf.DUMMYFUNCTION("GOOGLETRANSLATE(A3225, ""en"", ""fr"")"),"Plate-forme de production offshore")</f>
        <v>Plate-forme de production offshore</v>
      </c>
      <c r="E3225" s="1" t="s">
        <v>3</v>
      </c>
    </row>
    <row r="3226" spans="1:97" ht="14.25" customHeight="1" x14ac:dyDescent="0.3">
      <c r="A3226" s="1" t="s">
        <v>3367</v>
      </c>
      <c r="B3226" s="1" t="str">
        <f ca="1">IFERROR(__xludf.DUMMYFUNCTION("GOOGLETRANSLATE(A3226, ""en"", ""fr"")"),"délocalisation")</f>
        <v>délocalisation</v>
      </c>
      <c r="M3226" s="1" t="s">
        <v>10</v>
      </c>
    </row>
    <row r="3227" spans="1:97" ht="14.25" customHeight="1" x14ac:dyDescent="0.3">
      <c r="A3227" s="1" t="s">
        <v>3368</v>
      </c>
      <c r="B3227" s="1" t="str">
        <f ca="1">IFERROR(__xludf.DUMMYFUNCTION("GOOGLETRANSLATE(A3227, ""en"", ""fr"")"),"Oguendjo")</f>
        <v>Oguendjo</v>
      </c>
      <c r="R3227" s="1" t="s">
        <v>15</v>
      </c>
      <c r="CS3227" s="1" t="s">
        <v>94</v>
      </c>
    </row>
    <row r="3228" spans="1:97" ht="14.25" customHeight="1" x14ac:dyDescent="0.3">
      <c r="A3228" s="1" t="s">
        <v>3369</v>
      </c>
      <c r="B3228" s="1" t="str">
        <f ca="1">IFERROR(__xludf.DUMMYFUNCTION("GOOGLETRANSLATE(A3228, ""en"", ""fr"")"),"bloc d'huile")</f>
        <v>bloc d'huile</v>
      </c>
      <c r="AY3228" s="1" t="s">
        <v>48</v>
      </c>
      <c r="CS3228" s="1" t="s">
        <v>94</v>
      </c>
    </row>
    <row r="3229" spans="1:97" ht="14.25" customHeight="1" x14ac:dyDescent="0.3">
      <c r="A3229" s="1" t="s">
        <v>3370</v>
      </c>
      <c r="B3229" s="1" t="str">
        <f ca="1">IFERROR(__xludf.DUMMYFUNCTION("GOOGLETRANSLATE(A3229, ""en"", ""fr"")"),"Licence de blocs d'huile")</f>
        <v>Licence de blocs d'huile</v>
      </c>
      <c r="AY3229" s="1" t="s">
        <v>48</v>
      </c>
      <c r="CS3229" s="1" t="s">
        <v>94</v>
      </c>
    </row>
    <row r="3230" spans="1:97" ht="14.25" customHeight="1" x14ac:dyDescent="0.3">
      <c r="A3230" s="1" t="s">
        <v>3371</v>
      </c>
      <c r="B3230" s="1" t="str">
        <f ca="1">IFERROR(__xludf.DUMMYFUNCTION("GOOGLETRANSLATE(A3230, ""en"", ""fr"")"),"blocs d'huile")</f>
        <v>blocs d'huile</v>
      </c>
      <c r="AY3230" s="1" t="s">
        <v>48</v>
      </c>
      <c r="CS3230" s="1" t="s">
        <v>94</v>
      </c>
    </row>
    <row r="3231" spans="1:97" ht="14.25" customHeight="1" x14ac:dyDescent="0.3">
      <c r="A3231" s="1" t="s">
        <v>3372</v>
      </c>
      <c r="B3231" s="1" t="str">
        <f ca="1">IFERROR(__xludf.DUMMYFUNCTION("GOOGLETRANSLATE(A3231, ""en"", ""fr"")"),"Huile en place")</f>
        <v>Huile en place</v>
      </c>
      <c r="E3231" s="1" t="s">
        <v>3</v>
      </c>
    </row>
    <row r="3232" spans="1:97" ht="14.25" customHeight="1" x14ac:dyDescent="0.3">
      <c r="A3232" s="1" t="s">
        <v>3373</v>
      </c>
      <c r="B3232" s="1" t="str">
        <f ca="1">IFERROR(__xludf.DUMMYFUNCTION("GOOGLETRANSLATE(A3232, ""en"", ""fr"")"),"plate-forme pétrolière")</f>
        <v>plate-forme pétrolière</v>
      </c>
      <c r="CS3232" s="1" t="s">
        <v>94</v>
      </c>
    </row>
    <row r="3233" spans="1:142" ht="14.25" customHeight="1" x14ac:dyDescent="0.3">
      <c r="A3233" s="1" t="s">
        <v>3374</v>
      </c>
      <c r="B3233" s="1" t="str">
        <f ca="1">IFERROR(__xludf.DUMMYFUNCTION("GOOGLETRANSLATE(A3233, ""en"", ""fr"")"),"Production d'huile")</f>
        <v>Production d'huile</v>
      </c>
      <c r="E3233" s="1" t="s">
        <v>3</v>
      </c>
    </row>
    <row r="3234" spans="1:142" ht="14.25" customHeight="1" x14ac:dyDescent="0.3">
      <c r="A3234" s="1" t="s">
        <v>3375</v>
      </c>
      <c r="B3234" s="1" t="str">
        <f ca="1">IFERROR(__xludf.DUMMYFUNCTION("GOOGLETRANSLATE(A3234, ""en"", ""fr"")"),"raffinerie de pétrole")</f>
        <v>raffinerie de pétrole</v>
      </c>
      <c r="BF3234" s="1" t="s">
        <v>55</v>
      </c>
      <c r="CS3234" s="1" t="s">
        <v>94</v>
      </c>
    </row>
    <row r="3235" spans="1:142" ht="14.25" customHeight="1" x14ac:dyDescent="0.3">
      <c r="A3235" s="1" t="s">
        <v>3376</v>
      </c>
      <c r="B3235" s="1" t="str">
        <f ca="1">IFERROR(__xludf.DUMMYFUNCTION("GOOGLETRANSLATE(A3235, ""en"", ""fr"")"),"réserves d'huile")</f>
        <v>réserves d'huile</v>
      </c>
      <c r="CS3235" s="1" t="s">
        <v>94</v>
      </c>
    </row>
    <row r="3236" spans="1:142" ht="14.25" customHeight="1" x14ac:dyDescent="0.3">
      <c r="A3236" s="1" t="s">
        <v>3377</v>
      </c>
      <c r="B3236" s="1" t="str">
        <f ca="1">IFERROR(__xludf.DUMMYFUNCTION("GOOGLETRANSLATE(A3236, ""en"", ""fr"")"),"plate-forme pétrolière")</f>
        <v>plate-forme pétrolière</v>
      </c>
      <c r="CS3236" s="1" t="s">
        <v>94</v>
      </c>
    </row>
    <row r="3237" spans="1:142" ht="14.25" customHeight="1" x14ac:dyDescent="0.3">
      <c r="A3237" s="1" t="s">
        <v>3378</v>
      </c>
      <c r="B3237" s="1" t="str">
        <f ca="1">IFERROR(__xludf.DUMMYFUNCTION("GOOGLETRANSLATE(A3237, ""en"", ""fr"")"),"Sables bitumineux")</f>
        <v>Sables bitumineux</v>
      </c>
      <c r="EL3237" s="1" t="s">
        <v>139</v>
      </c>
    </row>
    <row r="3238" spans="1:142" ht="14.25" customHeight="1" x14ac:dyDescent="0.3">
      <c r="A3238" s="1" t="s">
        <v>3379</v>
      </c>
      <c r="B3238" s="1" t="str">
        <f ca="1">IFERROR(__xludf.DUMMYFUNCTION("GOOGLETRANSLATE(A3238, ""en"", ""fr"")"),"Schiste à l'huile")</f>
        <v>Schiste à l'huile</v>
      </c>
      <c r="EL3238" s="1" t="s">
        <v>139</v>
      </c>
    </row>
    <row r="3239" spans="1:142" ht="14.25" customHeight="1" x14ac:dyDescent="0.3">
      <c r="A3239" s="1" t="s">
        <v>3380</v>
      </c>
      <c r="B3239" s="1" t="str">
        <f ca="1">IFERROR(__xludf.DUMMYFUNCTION("GOOGLETRANSLATE(A3239, ""en"", ""fr"")"),"puits de pétrole")</f>
        <v>puits de pétrole</v>
      </c>
      <c r="CS3239" s="1" t="s">
        <v>94</v>
      </c>
    </row>
    <row r="3240" spans="1:142" ht="14.25" customHeight="1" x14ac:dyDescent="0.3">
      <c r="A3240" s="1" t="s">
        <v>3381</v>
      </c>
      <c r="B3240" s="1" t="str">
        <f ca="1">IFERROR(__xludf.DUMMYFUNCTION("GOOGLETRANSLATE(A3240, ""en"", ""fr"")"),"réservoir d'huile")</f>
        <v>réservoir d'huile</v>
      </c>
      <c r="CS3240" s="1" t="s">
        <v>94</v>
      </c>
    </row>
    <row r="3241" spans="1:142" ht="14.25" customHeight="1" x14ac:dyDescent="0.3">
      <c r="A3241" s="1" t="s">
        <v>3382</v>
      </c>
      <c r="B3241" s="1" t="str">
        <f ca="1">IFERROR(__xludf.DUMMYFUNCTION("GOOGLETRANSLATE(A3241, ""en"", ""fr"")"),"Okono")</f>
        <v>Okono</v>
      </c>
      <c r="R3241" s="1" t="s">
        <v>15</v>
      </c>
      <c r="CS3241" s="1" t="s">
        <v>94</v>
      </c>
    </row>
    <row r="3242" spans="1:142" ht="14.25" customHeight="1" x14ac:dyDescent="0.3">
      <c r="A3242" s="1" t="s">
        <v>3383</v>
      </c>
      <c r="B3242" s="1" t="str">
        <f ca="1">IFERROR(__xludf.DUMMYFUNCTION("GOOGLETRANSLATE(A3242, ""en"", ""fr"")"),"oligopole")</f>
        <v>oligopole</v>
      </c>
      <c r="M3242" s="1" t="s">
        <v>10</v>
      </c>
    </row>
    <row r="3243" spans="1:142" ht="14.25" customHeight="1" x14ac:dyDescent="0.3">
      <c r="A3243" s="1" t="s">
        <v>3384</v>
      </c>
      <c r="B3243" s="1" t="str">
        <f ca="1">IFERROR(__xludf.DUMMYFUNCTION("GOOGLETRANSLATE(A3243, ""en"", ""fr"")"),"oligopsone")</f>
        <v>oligopsone</v>
      </c>
      <c r="M3243" s="1" t="s">
        <v>10</v>
      </c>
    </row>
    <row r="3244" spans="1:142" ht="14.25" customHeight="1" x14ac:dyDescent="0.3">
      <c r="A3244" s="1" t="s">
        <v>3385</v>
      </c>
      <c r="B3244" s="1" t="str">
        <f ca="1">IFERROR(__xludf.DUMMYFUNCTION("GOOGLETRANSLATE(A3244, ""en"", ""fr"")"),"Olmeca")</f>
        <v>Olmeca</v>
      </c>
      <c r="R3244" s="1" t="s">
        <v>15</v>
      </c>
      <c r="CS3244" s="1" t="s">
        <v>94</v>
      </c>
    </row>
    <row r="3245" spans="1:142" ht="14.25" customHeight="1" x14ac:dyDescent="0.3">
      <c r="A3245" s="1" t="s">
        <v>3386</v>
      </c>
      <c r="B3245" s="1" t="str">
        <f ca="1">IFERROR(__xludf.DUMMYFUNCTION("GOOGLETRANSLATE(A3245, ""en"", ""fr"")"),"Mélange Oman")</f>
        <v>Mélange Oman</v>
      </c>
      <c r="R3245" s="1" t="s">
        <v>15</v>
      </c>
      <c r="CS3245" s="1" t="s">
        <v>94</v>
      </c>
    </row>
    <row r="3246" spans="1:142" ht="14.25" customHeight="1" x14ac:dyDescent="0.3">
      <c r="A3246" s="1" t="s">
        <v>3387</v>
      </c>
      <c r="B3246" s="1" t="str">
        <f ca="1">IFERROR(__xludf.DUMMYFUNCTION("GOOGLETRANSLATE(A3246, ""en"", ""fr"")"),"OMISSION")</f>
        <v>OMISSION</v>
      </c>
      <c r="D3246" s="1" t="s">
        <v>4963</v>
      </c>
    </row>
    <row r="3247" spans="1:142" ht="14.25" customHeight="1" x14ac:dyDescent="0.3">
      <c r="A3247" s="1" t="s">
        <v>3388</v>
      </c>
      <c r="B3247" s="1" t="str">
        <f ca="1">IFERROR(__xludf.DUMMYFUNCTION("GOOGLETRANSLATE(A3247, ""en"", ""fr"")"),"Omissions")</f>
        <v>Omissions</v>
      </c>
      <c r="D3247" s="1" t="s">
        <v>4963</v>
      </c>
    </row>
    <row r="3248" spans="1:142" ht="14.25" customHeight="1" x14ac:dyDescent="0.3">
      <c r="A3248" s="1" t="s">
        <v>3389</v>
      </c>
      <c r="B3248" s="1" t="str">
        <f ca="1">IFERROR(__xludf.DUMMYFUNCTION("GOOGLETRANSLATE(A3248, ""en"", ""fr"")"),"OMETTRE")</f>
        <v>OMETTRE</v>
      </c>
      <c r="D3248" s="1" t="s">
        <v>4963</v>
      </c>
    </row>
    <row r="3249" spans="1:132" ht="14.25" customHeight="1" x14ac:dyDescent="0.3">
      <c r="A3249" s="1" t="s">
        <v>3390</v>
      </c>
      <c r="B3249" s="1" t="str">
        <f ca="1">IFERROR(__xludf.DUMMYFUNCTION("GOOGLETRANSLATE(A3249, ""en"", ""fr"")"),"Omit")</f>
        <v>Omit</v>
      </c>
      <c r="D3249" s="1" t="s">
        <v>4963</v>
      </c>
    </row>
    <row r="3250" spans="1:132" ht="14.25" customHeight="1" x14ac:dyDescent="0.3">
      <c r="A3250" s="1" t="s">
        <v>3391</v>
      </c>
      <c r="B3250" s="1" t="str">
        <f ca="1">IFERROR(__xludf.DUMMYFUNCTION("GOOGLETRANSLATE(A3250, ""en"", ""fr"")"),"OMIS")</f>
        <v>OMIS</v>
      </c>
      <c r="D3250" s="1" t="s">
        <v>4963</v>
      </c>
    </row>
    <row r="3251" spans="1:132" ht="14.25" customHeight="1" x14ac:dyDescent="0.3">
      <c r="A3251" s="1" t="s">
        <v>3392</v>
      </c>
      <c r="B3251" s="1" t="str">
        <f ca="1">IFERROR(__xludf.DUMMYFUNCTION("GOOGLETRANSLATE(A3251, ""en"", ""fr"")"),"Omission")</f>
        <v>Omission</v>
      </c>
      <c r="D3251" s="1" t="s">
        <v>4963</v>
      </c>
    </row>
    <row r="3252" spans="1:132" ht="14.25" customHeight="1" x14ac:dyDescent="0.3">
      <c r="A3252" s="1" t="s">
        <v>3393</v>
      </c>
      <c r="B3252" s="1" t="str">
        <f ca="1">IFERROR(__xludf.DUMMYFUNCTION("GOOGLETRANSLATE(A3252, ""en"", ""fr"")"),"raffinerie OMSK")</f>
        <v>raffinerie OMSK</v>
      </c>
      <c r="X3252" s="1" t="s">
        <v>21</v>
      </c>
      <c r="AB3252" s="1" t="s">
        <v>25</v>
      </c>
      <c r="BF3252" s="1" t="s">
        <v>55</v>
      </c>
      <c r="BL3252" s="1" t="s">
        <v>61</v>
      </c>
      <c r="EB3252" s="1" t="s">
        <v>129</v>
      </c>
    </row>
    <row r="3253" spans="1:132" ht="14.25" customHeight="1" x14ac:dyDescent="0.3">
      <c r="A3253" s="1" t="s">
        <v>3394</v>
      </c>
      <c r="B3253" s="1" t="str">
        <f ca="1">IFERROR(__xludf.DUMMYFUNCTION("GOOGLETRANSLATE(A3253, ""en"", ""fr"")"),"sur")</f>
        <v>sur</v>
      </c>
      <c r="J3253" s="1" t="s">
        <v>7</v>
      </c>
    </row>
    <row r="3254" spans="1:132" ht="14.25" customHeight="1" x14ac:dyDescent="0.3">
      <c r="A3254" s="1" t="s">
        <v>3395</v>
      </c>
      <c r="B3254" s="1" t="str">
        <f ca="1">IFERROR(__xludf.DUMMYFUNCTION("GOOGLETRANSLATE(A3254, ""en"", ""fr"")"),"en consignation")</f>
        <v>en consignation</v>
      </c>
      <c r="M3254" s="1" t="s">
        <v>10</v>
      </c>
    </row>
    <row r="3255" spans="1:132" ht="14.25" customHeight="1" x14ac:dyDescent="0.3">
      <c r="A3255" s="1" t="s">
        <v>3396</v>
      </c>
      <c r="B3255" s="1" t="str">
        <f ca="1">IFERROR(__xludf.DUMMYFUNCTION("GOOGLETRANSLATE(A3255, ""en"", ""fr"")"),"LOURD")</f>
        <v>LOURD</v>
      </c>
      <c r="D3255" s="1" t="s">
        <v>4963</v>
      </c>
    </row>
    <row r="3256" spans="1:132" ht="14.25" customHeight="1" x14ac:dyDescent="0.3">
      <c r="A3256" s="1" t="s">
        <v>3397</v>
      </c>
      <c r="B3256" s="1" t="str">
        <f ca="1">IFERROR(__xludf.DUMMYFUNCTION("GOOGLETRANSLATE(A3256, ""en"", ""fr"")"),"seulement")</f>
        <v>seulement</v>
      </c>
      <c r="J3256" s="1" t="s">
        <v>7</v>
      </c>
    </row>
    <row r="3257" spans="1:132" ht="14.25" customHeight="1" x14ac:dyDescent="0.3">
      <c r="A3257" s="1" t="s">
        <v>3398</v>
      </c>
      <c r="B3257" s="1" t="str">
        <f ca="1">IFERROR(__xludf.DUMMYFUNCTION("GOOGLETRANSLATE(A3257, ""en"", ""fr"")"),"sur")</f>
        <v>sur</v>
      </c>
      <c r="J3257" s="1" t="s">
        <v>7</v>
      </c>
    </row>
    <row r="3258" spans="1:132" ht="14.25" customHeight="1" x14ac:dyDescent="0.3">
      <c r="A3258" s="1" t="s">
        <v>3399</v>
      </c>
      <c r="B3258" s="1" t="str">
        <f ca="1">IFERROR(__xludf.DUMMYFUNCTION("GOOGLETRANSLATE(A3258, ""en"", ""fr"")"),"OPEP")</f>
        <v>OPEP</v>
      </c>
      <c r="CL3258" s="1" t="s">
        <v>87</v>
      </c>
    </row>
    <row r="3259" spans="1:132" ht="14.25" customHeight="1" x14ac:dyDescent="0.3">
      <c r="A3259" s="1" t="s">
        <v>3400</v>
      </c>
      <c r="B3259" s="1" t="str">
        <f ca="1">IFERROR(__xludf.DUMMYFUNCTION("GOOGLETRANSLATE(A3259, ""en"", ""fr"")"),"ouvrir")</f>
        <v>ouvrir</v>
      </c>
      <c r="CR3259" s="1" t="s">
        <v>93</v>
      </c>
    </row>
    <row r="3260" spans="1:132" ht="14.25" customHeight="1" x14ac:dyDescent="0.3">
      <c r="A3260" s="1" t="s">
        <v>3401</v>
      </c>
      <c r="B3260" s="1" t="str">
        <f ca="1">IFERROR(__xludf.DUMMYFUNCTION("GOOGLETRANSLATE(A3260, ""en"", ""fr"")"),"économie ouverte")</f>
        <v>économie ouverte</v>
      </c>
      <c r="M3260" s="1" t="s">
        <v>10</v>
      </c>
    </row>
    <row r="3261" spans="1:132" ht="14.25" customHeight="1" x14ac:dyDescent="0.3">
      <c r="A3261" s="1" t="s">
        <v>3402</v>
      </c>
      <c r="B3261" s="1" t="str">
        <f ca="1">IFERROR(__xludf.DUMMYFUNCTION("GOOGLETRANSLATE(A3261, ""en"", ""fr"")"),"opération de marché libre")</f>
        <v>opération de marché libre</v>
      </c>
      <c r="M3261" s="1" t="s">
        <v>10</v>
      </c>
    </row>
    <row r="3262" spans="1:132" ht="14.25" customHeight="1" x14ac:dyDescent="0.3">
      <c r="A3262" s="1" t="s">
        <v>3403</v>
      </c>
      <c r="B3262" s="1" t="str">
        <f ca="1">IFERROR(__xludf.DUMMYFUNCTION("GOOGLETRANSLATE(A3262, ""en"", ""fr"")"),"taux de marché ouvert")</f>
        <v>taux de marché ouvert</v>
      </c>
      <c r="M3262" s="1" t="s">
        <v>10</v>
      </c>
    </row>
    <row r="3263" spans="1:132" ht="14.25" customHeight="1" x14ac:dyDescent="0.3">
      <c r="A3263" s="1" t="s">
        <v>3404</v>
      </c>
      <c r="B3263" s="1" t="str">
        <f ca="1">IFERROR(__xludf.DUMMYFUNCTION("GOOGLETRANSLATE(A3263, ""en"", ""fr"")"),"dépenses d'exploitation")</f>
        <v>dépenses d'exploitation</v>
      </c>
      <c r="CR3263" s="1" t="s">
        <v>93</v>
      </c>
    </row>
    <row r="3264" spans="1:132" ht="14.25" customHeight="1" x14ac:dyDescent="0.3">
      <c r="A3264" s="1" t="s">
        <v>3405</v>
      </c>
      <c r="B3264" s="1" t="str">
        <f ca="1">IFERROR(__xludf.DUMMYFUNCTION("GOOGLETRANSLATE(A3264, ""en"", ""fr"")"),"revenu opérationnel")</f>
        <v>revenu opérationnel</v>
      </c>
      <c r="CR3264" s="1" t="s">
        <v>93</v>
      </c>
    </row>
    <row r="3265" spans="1:142" ht="14.25" customHeight="1" x14ac:dyDescent="0.3">
      <c r="A3265" s="1" t="s">
        <v>3406</v>
      </c>
      <c r="B3265" s="1" t="str">
        <f ca="1">IFERROR(__xludf.DUMMYFUNCTION("GOOGLETRANSLATE(A3265, ""en"", ""fr"")"),"bail de fonctionnement")</f>
        <v>bail de fonctionnement</v>
      </c>
      <c r="CR3265" s="1" t="s">
        <v>93</v>
      </c>
    </row>
    <row r="3266" spans="1:142" ht="14.25" customHeight="1" x14ac:dyDescent="0.3">
      <c r="A3266" s="1" t="s">
        <v>3407</v>
      </c>
      <c r="B3266" s="1" t="str">
        <f ca="1">IFERROR(__xludf.DUMMYFUNCTION("GOOGLETRANSLATE(A3266, ""en"", ""fr"")"),"bénéfice d'exploitation")</f>
        <v>bénéfice d'exploitation</v>
      </c>
      <c r="CR3266" s="1" t="s">
        <v>93</v>
      </c>
    </row>
    <row r="3267" spans="1:142" ht="14.25" customHeight="1" x14ac:dyDescent="0.3">
      <c r="A3267" s="1" t="s">
        <v>3408</v>
      </c>
      <c r="B3267" s="1" t="str">
        <f ca="1">IFERROR(__xludf.DUMMYFUNCTION("GOOGLETRANSLATE(A3267, ""en"", ""fr"")"),"taux d'exploitation")</f>
        <v>taux d'exploitation</v>
      </c>
      <c r="M3267" s="1" t="s">
        <v>10</v>
      </c>
    </row>
    <row r="3268" spans="1:142" ht="14.25" customHeight="1" x14ac:dyDescent="0.3">
      <c r="A3268" s="1" t="s">
        <v>3409</v>
      </c>
      <c r="B3268" s="1" t="str">
        <f ca="1">IFERROR(__xludf.DUMMYFUNCTION("GOOGLETRANSLATE(A3268, ""en"", ""fr"")"),"Opérateur")</f>
        <v>Opérateur</v>
      </c>
      <c r="EL3268" s="1" t="s">
        <v>139</v>
      </c>
    </row>
    <row r="3269" spans="1:142" ht="14.25" customHeight="1" x14ac:dyDescent="0.3">
      <c r="A3269" s="1" t="s">
        <v>3410</v>
      </c>
      <c r="B3269" s="1" t="str">
        <f ca="1">IFERROR(__xludf.DUMMYFUNCTION("GOOGLETRANSLATE(A3269, ""en"", ""fr"")"),"OPPORTUNISTE")</f>
        <v>OPPORTUNISTE</v>
      </c>
      <c r="D3269" s="1" t="s">
        <v>4963</v>
      </c>
    </row>
    <row r="3270" spans="1:142" ht="14.25" customHeight="1" x14ac:dyDescent="0.3">
      <c r="A3270" s="1" t="s">
        <v>3411</v>
      </c>
      <c r="B3270" s="1" t="str">
        <f ca="1">IFERROR(__xludf.DUMMYFUNCTION("GOOGLETRANSLATE(A3270, ""en"", ""fr"")"),"De manière opportuniste")</f>
        <v>De manière opportuniste</v>
      </c>
      <c r="D3270" s="1" t="s">
        <v>4963</v>
      </c>
    </row>
    <row r="3271" spans="1:142" ht="14.25" customHeight="1" x14ac:dyDescent="0.3">
      <c r="A3271" s="1" t="s">
        <v>3412</v>
      </c>
      <c r="B3271" s="1" t="str">
        <f ca="1">IFERROR(__xludf.DUMMYFUNCTION("GOOGLETRANSLATE(A3271, ""en"", ""fr"")"),"OPPORTUNITÉS")</f>
        <v>OPPORTUNITÉS</v>
      </c>
      <c r="H3271" s="1" t="s">
        <v>4964</v>
      </c>
    </row>
    <row r="3272" spans="1:142" ht="14.25" customHeight="1" x14ac:dyDescent="0.3">
      <c r="A3272" s="1" t="s">
        <v>3413</v>
      </c>
      <c r="B3272" s="1" t="str">
        <f ca="1">IFERROR(__xludf.DUMMYFUNCTION("GOOGLETRANSLATE(A3272, ""en"", ""fr"")"),"OPPORTUNITÉ")</f>
        <v>OPPORTUNITÉ</v>
      </c>
      <c r="H3272" s="1" t="s">
        <v>4964</v>
      </c>
    </row>
    <row r="3273" spans="1:142" ht="14.25" customHeight="1" x14ac:dyDescent="0.3">
      <c r="A3273" s="1" t="s">
        <v>3414</v>
      </c>
      <c r="B3273" s="1" t="str">
        <f ca="1">IFERROR(__xludf.DUMMYFUNCTION("GOOGLETRANSLATE(A3273, ""en"", ""fr"")"),"S'OPPOSER")</f>
        <v>S'OPPOSER</v>
      </c>
      <c r="D3273" s="1" t="s">
        <v>4963</v>
      </c>
    </row>
    <row r="3274" spans="1:142" ht="14.25" customHeight="1" x14ac:dyDescent="0.3">
      <c r="A3274" s="1" t="s">
        <v>3415</v>
      </c>
      <c r="B3274" s="1" t="str">
        <f ca="1">IFERROR(__xludf.DUMMYFUNCTION("GOOGLETRANSLATE(A3274, ""en"", ""fr"")"),"OPPOSÉ")</f>
        <v>OPPOSÉ</v>
      </c>
      <c r="D3274" s="1" t="s">
        <v>4963</v>
      </c>
    </row>
    <row r="3275" spans="1:142" ht="14.25" customHeight="1" x14ac:dyDescent="0.3">
      <c r="A3275" s="1" t="s">
        <v>3416</v>
      </c>
      <c r="B3275" s="1" t="str">
        <f ca="1">IFERROR(__xludf.DUMMYFUNCTION("GOOGLETRANSLATE(A3275, ""en"", ""fr"")"),"Opposition")</f>
        <v>Opposition</v>
      </c>
      <c r="D3275" s="1" t="s">
        <v>4963</v>
      </c>
    </row>
    <row r="3276" spans="1:142" ht="14.25" customHeight="1" x14ac:dyDescent="0.3">
      <c r="A3276" s="1" t="s">
        <v>3417</v>
      </c>
      <c r="B3276" s="1" t="str">
        <f ca="1">IFERROR(__xludf.DUMMYFUNCTION("GOOGLETRANSLATE(A3276, ""en"", ""fr"")"),"OPPOSÉ")</f>
        <v>OPPOSÉ</v>
      </c>
      <c r="D3276" s="1" t="s">
        <v>4963</v>
      </c>
    </row>
    <row r="3277" spans="1:142" ht="14.25" customHeight="1" x14ac:dyDescent="0.3">
      <c r="A3277" s="1" t="s">
        <v>3418</v>
      </c>
      <c r="B3277" s="1" t="str">
        <f ca="1">IFERROR(__xludf.DUMMYFUNCTION("GOOGLETRANSLATE(A3277, ""en"", ""fr"")"),"OPPOSITION")</f>
        <v>OPPOSITION</v>
      </c>
      <c r="D3277" s="1" t="s">
        <v>4963</v>
      </c>
    </row>
    <row r="3278" spans="1:142" ht="14.25" customHeight="1" x14ac:dyDescent="0.3">
      <c r="A3278" s="1" t="s">
        <v>3419</v>
      </c>
      <c r="B3278" s="1" t="str">
        <f ca="1">IFERROR(__xludf.DUMMYFUNCTION("GOOGLETRANSLATE(A3278, ""en"", ""fr"")"),"Opposition")</f>
        <v>Opposition</v>
      </c>
      <c r="D3278" s="1" t="s">
        <v>4963</v>
      </c>
    </row>
    <row r="3279" spans="1:142" ht="14.25" customHeight="1" x14ac:dyDescent="0.3">
      <c r="A3279" s="1" t="s">
        <v>3420</v>
      </c>
      <c r="B3279" s="1" t="str">
        <f ca="1">IFERROR(__xludf.DUMMYFUNCTION("GOOGLETRANSLATE(A3279, ""en"", ""fr"")"),"OPTIMISTE")</f>
        <v>OPTIMISTE</v>
      </c>
      <c r="H3279" s="1" t="s">
        <v>4964</v>
      </c>
    </row>
    <row r="3280" spans="1:142" ht="14.25" customHeight="1" x14ac:dyDescent="0.3">
      <c r="A3280" s="1" t="s">
        <v>3421</v>
      </c>
      <c r="B3280" s="1" t="str">
        <f ca="1">IFERROR(__xludf.DUMMYFUNCTION("GOOGLETRANSLATE(A3280, ""en"", ""fr"")"),"optimiser")</f>
        <v>optimiser</v>
      </c>
      <c r="M3280" s="1" t="s">
        <v>10</v>
      </c>
    </row>
    <row r="3281" spans="1:108" ht="14.25" customHeight="1" x14ac:dyDescent="0.3">
      <c r="A3281" s="1" t="s">
        <v>3422</v>
      </c>
      <c r="B3281" s="1" t="str">
        <f ca="1">IFERROR(__xludf.DUMMYFUNCTION("GOOGLETRANSLATE(A3281, ""en"", ""fr"")"),"ou")</f>
        <v>ou</v>
      </c>
      <c r="J3281" s="1" t="s">
        <v>7</v>
      </c>
    </row>
    <row r="3282" spans="1:108" ht="14.25" customHeight="1" x14ac:dyDescent="0.3">
      <c r="A3282" s="1" t="s">
        <v>3423</v>
      </c>
      <c r="B3282" s="1" t="str">
        <f ca="1">IFERROR(__xludf.DUMMYFUNCTION("GOOGLETRANSLATE(A3282, ""en"", ""fr"")"),"Oriente")</f>
        <v>Oriente</v>
      </c>
      <c r="R3282" s="1" t="s">
        <v>15</v>
      </c>
      <c r="CS3282" s="1" t="s">
        <v>94</v>
      </c>
    </row>
    <row r="3283" spans="1:108" ht="14.25" customHeight="1" x14ac:dyDescent="0.3">
      <c r="A3283" s="1" t="s">
        <v>3424</v>
      </c>
      <c r="B3283" s="1" t="str">
        <f ca="1">IFERROR(__xludf.DUMMYFUNCTION("GOOGLETRANSLATE(A3283, ""en"", ""fr"")"),"Condensat d'Ormen Lange")</f>
        <v>Condensat d'Ormen Lange</v>
      </c>
      <c r="R3283" s="1" t="s">
        <v>15</v>
      </c>
      <c r="CS3283" s="1" t="s">
        <v>94</v>
      </c>
    </row>
    <row r="3284" spans="1:108" ht="14.25" customHeight="1" x14ac:dyDescent="0.3">
      <c r="A3284" s="1" t="s">
        <v>3425</v>
      </c>
      <c r="B3284" s="1" t="str">
        <f ca="1">IFERROR(__xludf.DUMMYFUNCTION("GOOGLETRANSLATE(A3284, ""en"", ""fr"")"),"OSEBERG")</f>
        <v>OSEBERG</v>
      </c>
      <c r="BB3284" s="1" t="s">
        <v>51</v>
      </c>
      <c r="DD3284" s="1" t="s">
        <v>105</v>
      </c>
    </row>
    <row r="3285" spans="1:108" ht="14.25" customHeight="1" x14ac:dyDescent="0.3">
      <c r="A3285" s="1" t="s">
        <v>3426</v>
      </c>
      <c r="B3285" s="1" t="str">
        <f ca="1">IFERROR(__xludf.DUMMYFUNCTION("GOOGLETRANSLATE(A3285, ""en"", ""fr"")"),"Mélange oseberg")</f>
        <v>Mélange oseberg</v>
      </c>
      <c r="R3285" s="1" t="s">
        <v>15</v>
      </c>
      <c r="CS3285" s="1" t="s">
        <v>94</v>
      </c>
    </row>
    <row r="3286" spans="1:108" ht="14.25" customHeight="1" x14ac:dyDescent="0.3">
      <c r="A3286" s="1" t="s">
        <v>3427</v>
      </c>
      <c r="B3286" s="1" t="str">
        <f ca="1">IFERROR(__xludf.DUMMYFUNCTION("GOOGLETRANSLATE(A3286, ""en"", ""fr"")"),"Mélange d'Osgard")</f>
        <v>Mélange d'Osgard</v>
      </c>
      <c r="R3286" s="1" t="s">
        <v>15</v>
      </c>
      <c r="CS3286" s="1" t="s">
        <v>94</v>
      </c>
    </row>
    <row r="3287" spans="1:108" ht="14.25" customHeight="1" x14ac:dyDescent="0.3">
      <c r="A3287" s="1" t="s">
        <v>3428</v>
      </c>
      <c r="B3287" s="1" t="str">
        <f ca="1">IFERROR(__xludf.DUMMYFUNCTION("GOOGLETRANSLATE(A3287, ""en"", ""fr"")"),"Condensat OSO")</f>
        <v>Condensat OSO</v>
      </c>
      <c r="R3287" s="1" t="s">
        <v>15</v>
      </c>
      <c r="CS3287" s="1" t="s">
        <v>94</v>
      </c>
    </row>
    <row r="3288" spans="1:108" ht="14.25" customHeight="1" x14ac:dyDescent="0.3">
      <c r="A3288" s="1" t="s">
        <v>3429</v>
      </c>
      <c r="B3288" s="1" t="str">
        <f ca="1">IFERROR(__xludf.DUMMYFUNCTION("GOOGLETRANSLATE(A3288, ""en"", ""fr"")"),"autre")</f>
        <v>autre</v>
      </c>
      <c r="J3288" s="1" t="s">
        <v>7</v>
      </c>
    </row>
    <row r="3289" spans="1:108" ht="14.25" customHeight="1" x14ac:dyDescent="0.3">
      <c r="A3289" s="1" t="s">
        <v>3430</v>
      </c>
      <c r="B3289" s="1" t="str">
        <f ca="1">IFERROR(__xludf.DUMMYFUNCTION("GOOGLETRANSLATE(A3289, ""en"", ""fr"")"),"autres actifs")</f>
        <v>autres actifs</v>
      </c>
      <c r="CR3289" s="1" t="s">
        <v>93</v>
      </c>
    </row>
    <row r="3290" spans="1:108" ht="14.25" customHeight="1" x14ac:dyDescent="0.3">
      <c r="A3290" s="1" t="s">
        <v>3431</v>
      </c>
      <c r="B3290" s="1" t="str">
        <f ca="1">IFERROR(__xludf.DUMMYFUNCTION("GOOGLETRANSLATE(A3290, ""en"", ""fr"")"),"autres dépenses")</f>
        <v>autres dépenses</v>
      </c>
      <c r="CR3290" s="1" t="s">
        <v>93</v>
      </c>
    </row>
    <row r="3291" spans="1:108" ht="14.25" customHeight="1" x14ac:dyDescent="0.3">
      <c r="A3291" s="1" t="s">
        <v>3432</v>
      </c>
      <c r="B3291" s="1" t="str">
        <f ca="1">IFERROR(__xludf.DUMMYFUNCTION("GOOGLETRANSLATE(A3291, ""en"", ""fr"")"),"autre revenu")</f>
        <v>autre revenu</v>
      </c>
      <c r="CR3291" s="1" t="s">
        <v>93</v>
      </c>
    </row>
    <row r="3292" spans="1:108" ht="14.25" customHeight="1" x14ac:dyDescent="0.3">
      <c r="A3292" s="1" t="s">
        <v>3433</v>
      </c>
      <c r="B3292" s="1" t="str">
        <f ca="1">IFERROR(__xludf.DUMMYFUNCTION("GOOGLETRANSLATE(A3292, ""en"", ""fr"")"),"Autres passifs")</f>
        <v>Autres passifs</v>
      </c>
      <c r="CR3292" s="1" t="s">
        <v>93</v>
      </c>
    </row>
    <row r="3293" spans="1:108" ht="14.25" customHeight="1" x14ac:dyDescent="0.3">
      <c r="A3293" s="1" t="s">
        <v>3434</v>
      </c>
      <c r="B3293" s="1" t="str">
        <f ca="1">IFERROR(__xludf.DUMMYFUNCTION("GOOGLETRANSLATE(A3293, ""en"", ""fr"")"),"notre")</f>
        <v>notre</v>
      </c>
      <c r="J3293" s="1" t="s">
        <v>7</v>
      </c>
    </row>
    <row r="3294" spans="1:108" ht="14.25" customHeight="1" x14ac:dyDescent="0.3">
      <c r="A3294" s="1" t="s">
        <v>3435</v>
      </c>
      <c r="B3294" s="1" t="str">
        <f ca="1">IFERROR(__xludf.DUMMYFUNCTION("GOOGLETRANSLATE(A3294, ""en"", ""fr"")"),"nous-mêmes")</f>
        <v>nous-mêmes</v>
      </c>
      <c r="J3294" s="1" t="s">
        <v>7</v>
      </c>
    </row>
    <row r="3295" spans="1:108" ht="14.25" customHeight="1" x14ac:dyDescent="0.3">
      <c r="A3295" s="1" t="s">
        <v>3436</v>
      </c>
      <c r="B3295" s="1" t="str">
        <f ca="1">IFERROR(__xludf.DUMMYFUNCTION("GOOGLETRANSLATE(A3295, ""en"", ""fr"")"),"Panne")</f>
        <v>Panne</v>
      </c>
      <c r="D3295" s="1" t="s">
        <v>4963</v>
      </c>
    </row>
    <row r="3296" spans="1:108" ht="14.25" customHeight="1" x14ac:dyDescent="0.3">
      <c r="A3296" s="1" t="s">
        <v>3437</v>
      </c>
      <c r="B3296" s="1" t="str">
        <f ca="1">IFERROR(__xludf.DUMMYFUNCTION("GOOGLETRANSLATE(A3296, ""en"", ""fr"")"),"Pannes")</f>
        <v>Pannes</v>
      </c>
      <c r="D3296" s="1" t="s">
        <v>4963</v>
      </c>
    </row>
    <row r="3297" spans="1:13" ht="14.25" customHeight="1" x14ac:dyDescent="0.3">
      <c r="A3297" s="1" t="s">
        <v>3438</v>
      </c>
      <c r="B3297" s="1" t="str">
        <f ca="1">IFERROR(__xludf.DUMMYFUNCTION("GOOGLETRANSLATE(A3297, ""en"", ""fr"")"),"DÉPASSÉ")</f>
        <v>DÉPASSÉ</v>
      </c>
      <c r="D3297" s="1" t="s">
        <v>4963</v>
      </c>
    </row>
    <row r="3298" spans="1:13" ht="14.25" customHeight="1" x14ac:dyDescent="0.3">
      <c r="A3298" s="1" t="s">
        <v>3439</v>
      </c>
      <c r="B3298" s="1" t="str">
        <f ca="1">IFERROR(__xludf.DUMMYFUNCTION("GOOGLETRANSLATE(A3298, ""en"", ""fr"")"),"DÉMODÉ")</f>
        <v>DÉMODÉ</v>
      </c>
      <c r="D3298" s="1" t="s">
        <v>4963</v>
      </c>
    </row>
    <row r="3299" spans="1:13" ht="14.25" customHeight="1" x14ac:dyDescent="0.3">
      <c r="A3299" s="1" t="s">
        <v>3440</v>
      </c>
      <c r="B3299" s="1" t="str">
        <f ca="1">IFERROR(__xludf.DUMMYFUNCTION("GOOGLETRANSLATE(A3299, ""en"", ""fr"")"),"SURPASSER")</f>
        <v>SURPASSER</v>
      </c>
      <c r="H3299" s="1" t="s">
        <v>4964</v>
      </c>
    </row>
    <row r="3300" spans="1:13" ht="14.25" customHeight="1" x14ac:dyDescent="0.3">
      <c r="A3300" s="1" t="s">
        <v>3441</v>
      </c>
      <c r="B3300" s="1" t="str">
        <f ca="1">IFERROR(__xludf.DUMMYFUNCTION("GOOGLETRANSLATE(A3300, ""en"", ""fr"")"),"Surperformé")</f>
        <v>Surperformé</v>
      </c>
      <c r="H3300" s="1" t="s">
        <v>4964</v>
      </c>
    </row>
    <row r="3301" spans="1:13" ht="14.25" customHeight="1" x14ac:dyDescent="0.3">
      <c r="A3301" s="1" t="s">
        <v>3442</v>
      </c>
      <c r="B3301" s="1" t="str">
        <f ca="1">IFERROR(__xludf.DUMMYFUNCTION("GOOGLETRANSLATE(A3301, ""en"", ""fr"")"),"Surperformant")</f>
        <v>Surperformant</v>
      </c>
      <c r="H3301" s="1" t="s">
        <v>4964</v>
      </c>
    </row>
    <row r="3302" spans="1:13" ht="14.25" customHeight="1" x14ac:dyDescent="0.3">
      <c r="A3302" s="1" t="s">
        <v>3443</v>
      </c>
      <c r="B3302" s="1" t="str">
        <f ca="1">IFERROR(__xludf.DUMMYFUNCTION("GOOGLETRANSLATE(A3302, ""en"", ""fr"")"),"Surpasser")</f>
        <v>Surpasser</v>
      </c>
      <c r="H3302" s="1" t="s">
        <v>4964</v>
      </c>
    </row>
    <row r="3303" spans="1:13" ht="14.25" customHeight="1" x14ac:dyDescent="0.3">
      <c r="A3303" s="1" t="s">
        <v>3444</v>
      </c>
      <c r="B3303" s="1" t="str">
        <f ca="1">IFERROR(__xludf.DUMMYFUNCTION("GOOGLETRANSLATE(A3303, ""en"", ""fr"")"),"REMARQUABLE")</f>
        <v>REMARQUABLE</v>
      </c>
      <c r="H3303" s="1" t="s">
        <v>4964</v>
      </c>
    </row>
    <row r="3304" spans="1:13" ht="14.25" customHeight="1" x14ac:dyDescent="0.3">
      <c r="A3304" s="1" t="s">
        <v>3445</v>
      </c>
      <c r="B3304" s="1" t="str">
        <f ca="1">IFERROR(__xludf.DUMMYFUNCTION("GOOGLETRANSLATE(A3304, ""en"", ""fr"")"),"sur")</f>
        <v>sur</v>
      </c>
      <c r="J3304" s="1" t="s">
        <v>7</v>
      </c>
    </row>
    <row r="3305" spans="1:13" ht="14.25" customHeight="1" x14ac:dyDescent="0.3">
      <c r="A3305" s="1" t="s">
        <v>3446</v>
      </c>
      <c r="B3305" s="1" t="str">
        <f ca="1">IFERROR(__xludf.DUMMYFUNCTION("GOOGLETRANSLATE(A3305, ""en"", ""fr"")"),"excédent")</f>
        <v>excédent</v>
      </c>
      <c r="D3305" s="1" t="s">
        <v>4963</v>
      </c>
      <c r="M3305" s="1" t="s">
        <v>10</v>
      </c>
    </row>
    <row r="3306" spans="1:13" ht="14.25" customHeight="1" x14ac:dyDescent="0.3">
      <c r="A3306" s="1" t="s">
        <v>3447</v>
      </c>
      <c r="B3306" s="1" t="str">
        <f ca="1">IFERROR(__xludf.DUMMYFUNCTION("GOOGLETRANSLATE(A3306, ""en"", ""fr"")"),"Surévaluations")</f>
        <v>Surévaluations</v>
      </c>
      <c r="D3306" s="1" t="s">
        <v>4963</v>
      </c>
    </row>
    <row r="3307" spans="1:13" ht="14.25" customHeight="1" x14ac:dyDescent="0.3">
      <c r="A3307" s="1" t="s">
        <v>3448</v>
      </c>
      <c r="B3307" s="1" t="str">
        <f ca="1">IFERROR(__xludf.DUMMYFUNCTION("GOOGLETRANSLATE(A3307, ""en"", ""fr"")"),"Trop construire")</f>
        <v>Trop construire</v>
      </c>
      <c r="D3307" s="1" t="s">
        <v>4963</v>
      </c>
    </row>
    <row r="3308" spans="1:13" ht="14.25" customHeight="1" x14ac:dyDescent="0.3">
      <c r="A3308" s="1" t="s">
        <v>3449</v>
      </c>
      <c r="B3308" s="1" t="str">
        <f ca="1">IFERROR(__xludf.DUMMYFUNCTION("GOOGLETRANSLATE(A3308, ""en"", ""fr"")"),"Surfacturation")</f>
        <v>Surfacturation</v>
      </c>
      <c r="D3308" s="1" t="s">
        <v>4963</v>
      </c>
    </row>
    <row r="3309" spans="1:13" ht="14.25" customHeight="1" x14ac:dyDescent="0.3">
      <c r="A3309" s="1" t="s">
        <v>3450</v>
      </c>
      <c r="B3309" s="1" t="str">
        <f ca="1">IFERROR(__xludf.DUMMYFUNCTION("GOOGLETRANSLATE(A3309, ""en"", ""fr"")"),"Trop construites")</f>
        <v>Trop construites</v>
      </c>
      <c r="D3309" s="1" t="s">
        <v>4963</v>
      </c>
    </row>
    <row r="3310" spans="1:13" ht="14.25" customHeight="1" x14ac:dyDescent="0.3">
      <c r="A3310" s="1" t="s">
        <v>3451</v>
      </c>
      <c r="B3310" s="1" t="str">
        <f ca="1">IFERROR(__xludf.DUMMYFUNCTION("GOOGLETRANSLATE(A3310, ""en"", ""fr"")"),"Trop construit")</f>
        <v>Trop construit</v>
      </c>
      <c r="D3310" s="1" t="s">
        <v>4963</v>
      </c>
    </row>
    <row r="3311" spans="1:13" ht="14.25" customHeight="1" x14ac:dyDescent="0.3">
      <c r="A3311" s="1" t="s">
        <v>3452</v>
      </c>
      <c r="B3311" s="1" t="str">
        <f ca="1">IFERROR(__xludf.DUMMYFUNCTION("GOOGLETRANSLATE(A3311, ""en"", ""fr"")"),"SURCHARGER")</f>
        <v>SURCHARGER</v>
      </c>
      <c r="D3311" s="1" t="s">
        <v>4963</v>
      </c>
    </row>
    <row r="3312" spans="1:13" ht="14.25" customHeight="1" x14ac:dyDescent="0.3">
      <c r="A3312" s="1" t="s">
        <v>3453</v>
      </c>
      <c r="B3312" s="1" t="str">
        <f ca="1">IFERROR(__xludf.DUMMYFUNCTION("GOOGLETRANSLATE(A3312, ""en"", ""fr"")"),"Surchargé")</f>
        <v>Surchargé</v>
      </c>
      <c r="D3312" s="1" t="s">
        <v>4963</v>
      </c>
    </row>
    <row r="3313" spans="1:4" ht="14.25" customHeight="1" x14ac:dyDescent="0.3">
      <c r="A3313" s="1" t="s">
        <v>3454</v>
      </c>
      <c r="B3313" s="1" t="str">
        <f ca="1">IFERROR(__xludf.DUMMYFUNCTION("GOOGLETRANSLATE(A3313, ""en"", ""fr"")"),"Trop surchargé")</f>
        <v>Trop surchargé</v>
      </c>
      <c r="D3313" s="1" t="s">
        <v>4963</v>
      </c>
    </row>
    <row r="3314" spans="1:4" ht="14.25" customHeight="1" x14ac:dyDescent="0.3">
      <c r="A3314" s="1" t="s">
        <v>3455</v>
      </c>
      <c r="B3314" s="1" t="str">
        <f ca="1">IFERROR(__xludf.DUMMYFUNCTION("GOOGLETRANSLATE(A3314, ""en"", ""fr"")"),"Surcapacités")</f>
        <v>Surcapacités</v>
      </c>
      <c r="D3314" s="1" t="s">
        <v>4963</v>
      </c>
    </row>
    <row r="3315" spans="1:4" ht="14.25" customHeight="1" x14ac:dyDescent="0.3">
      <c r="A3315" s="1" t="s">
        <v>3456</v>
      </c>
      <c r="B3315" s="1" t="str">
        <f ca="1">IFERROR(__xludf.DUMMYFUNCTION("GOOGLETRANSLATE(A3315, ""en"", ""fr"")"),"Surcapacité")</f>
        <v>Surcapacité</v>
      </c>
      <c r="D3315" s="1" t="s">
        <v>4963</v>
      </c>
    </row>
    <row r="3316" spans="1:4" ht="14.25" customHeight="1" x14ac:dyDescent="0.3">
      <c r="A3316" s="1" t="s">
        <v>3457</v>
      </c>
      <c r="B3316" s="1" t="str">
        <f ca="1">IFERROR(__xludf.DUMMYFUNCTION("GOOGLETRANSLATE(A3316, ""en"", ""fr"")"),"SURCHARGE")</f>
        <v>SURCHARGE</v>
      </c>
      <c r="D3316" s="1" t="s">
        <v>4963</v>
      </c>
    </row>
    <row r="3317" spans="1:4" ht="14.25" customHeight="1" x14ac:dyDescent="0.3">
      <c r="A3317" s="1" t="s">
        <v>3458</v>
      </c>
      <c r="B3317" s="1" t="str">
        <f ca="1">IFERROR(__xludf.DUMMYFUNCTION("GOOGLETRANSLATE(A3317, ""en"", ""fr"")"),"Surchargé")</f>
        <v>Surchargé</v>
      </c>
      <c r="D3317" s="1" t="s">
        <v>4963</v>
      </c>
    </row>
    <row r="3318" spans="1:4" ht="14.25" customHeight="1" x14ac:dyDescent="0.3">
      <c r="A3318" s="1" t="s">
        <v>3459</v>
      </c>
      <c r="B3318" s="1" t="str">
        <f ca="1">IFERROR(__xludf.DUMMYFUNCTION("GOOGLETRANSLATE(A3318, ""en"", ""fr"")"),"Surcharge")</f>
        <v>Surcharge</v>
      </c>
      <c r="D3318" s="1" t="s">
        <v>4963</v>
      </c>
    </row>
    <row r="3319" spans="1:4" ht="14.25" customHeight="1" x14ac:dyDescent="0.3">
      <c r="A3319" s="1" t="s">
        <v>3460</v>
      </c>
      <c r="B3319" s="1" t="str">
        <f ca="1">IFERROR(__xludf.DUMMYFUNCTION("GOOGLETRANSLATE(A3319, ""en"", ""fr"")"),"Surcharge")</f>
        <v>Surcharge</v>
      </c>
      <c r="D3319" s="1" t="s">
        <v>4963</v>
      </c>
    </row>
    <row r="3320" spans="1:4" ht="14.25" customHeight="1" x14ac:dyDescent="0.3">
      <c r="A3320" s="1" t="s">
        <v>3461</v>
      </c>
      <c r="B3320" s="1" t="str">
        <f ca="1">IFERROR(__xludf.DUMMYFUNCTION("GOOGLETRANSLATE(A3320, ""en"", ""fr"")"),"SURMONTER")</f>
        <v>SURMONTER</v>
      </c>
      <c r="D3320" s="1" t="s">
        <v>4963</v>
      </c>
    </row>
    <row r="3321" spans="1:4" ht="14.25" customHeight="1" x14ac:dyDescent="0.3">
      <c r="A3321" s="1" t="s">
        <v>3462</v>
      </c>
      <c r="B3321" s="1" t="str">
        <f ca="1">IFERROR(__xludf.DUMMYFUNCTION("GOOGLETRANSLATE(A3321, ""en"", ""fr"")"),"Surmonte")</f>
        <v>Surmonte</v>
      </c>
      <c r="D3321" s="1" t="s">
        <v>4963</v>
      </c>
    </row>
    <row r="3322" spans="1:4" ht="14.25" customHeight="1" x14ac:dyDescent="0.3">
      <c r="A3322" s="1" t="s">
        <v>3463</v>
      </c>
      <c r="B3322" s="1" t="str">
        <f ca="1">IFERROR(__xludf.DUMMYFUNCTION("GOOGLETRANSLATE(A3322, ""en"", ""fr"")"),"Surmonter")</f>
        <v>Surmonter</v>
      </c>
      <c r="D3322" s="1" t="s">
        <v>4963</v>
      </c>
    </row>
    <row r="3323" spans="1:4" ht="14.25" customHeight="1" x14ac:dyDescent="0.3">
      <c r="A3323" s="1" t="s">
        <v>3464</v>
      </c>
      <c r="B3323" s="1" t="str">
        <f ca="1">IFERROR(__xludf.DUMMYFUNCTION("GOOGLETRANSLATE(A3323, ""en"", ""fr"")"),"EN RETARD")</f>
        <v>EN RETARD</v>
      </c>
      <c r="D3323" s="1" t="s">
        <v>4963</v>
      </c>
    </row>
    <row r="3324" spans="1:4" ht="14.25" customHeight="1" x14ac:dyDescent="0.3">
      <c r="A3324" s="1" t="s">
        <v>3465</v>
      </c>
      <c r="B3324" s="1" t="str">
        <f ca="1">IFERROR(__xludf.DUMMYFUNCTION("GOOGLETRANSLATE(A3324, ""en"", ""fr"")"),"SURESTIMER")</f>
        <v>SURESTIMER</v>
      </c>
      <c r="D3324" s="1" t="s">
        <v>4963</v>
      </c>
    </row>
    <row r="3325" spans="1:4" ht="14.25" customHeight="1" x14ac:dyDescent="0.3">
      <c r="A3325" s="1" t="s">
        <v>3466</v>
      </c>
      <c r="B3325" s="1" t="str">
        <f ca="1">IFERROR(__xludf.DUMMYFUNCTION("GOOGLETRANSLATE(A3325, ""en"", ""fr"")"),"Surestimé")</f>
        <v>Surestimé</v>
      </c>
      <c r="D3325" s="1" t="s">
        <v>4963</v>
      </c>
    </row>
    <row r="3326" spans="1:4" ht="14.25" customHeight="1" x14ac:dyDescent="0.3">
      <c r="A3326" s="1" t="s">
        <v>3467</v>
      </c>
      <c r="B3326" s="1" t="str">
        <f ca="1">IFERROR(__xludf.DUMMYFUNCTION("GOOGLETRANSLATE(A3326, ""en"", ""fr"")"),"Surestimer")</f>
        <v>Surestimer</v>
      </c>
      <c r="D3326" s="1" t="s">
        <v>4963</v>
      </c>
    </row>
    <row r="3327" spans="1:4" ht="14.25" customHeight="1" x14ac:dyDescent="0.3">
      <c r="A3327" s="1" t="s">
        <v>3468</v>
      </c>
      <c r="B3327" s="1" t="str">
        <f ca="1">IFERROR(__xludf.DUMMYFUNCTION("GOOGLETRANSLATE(A3327, ""en"", ""fr"")"),"Surestimation")</f>
        <v>Surestimation</v>
      </c>
      <c r="D3327" s="1" t="s">
        <v>4963</v>
      </c>
    </row>
    <row r="3328" spans="1:4" ht="14.25" customHeight="1" x14ac:dyDescent="0.3">
      <c r="A3328" s="1" t="s">
        <v>3469</v>
      </c>
      <c r="B3328" s="1" t="str">
        <f ca="1">IFERROR(__xludf.DUMMYFUNCTION("GOOGLETRANSLATE(A3328, ""en"", ""fr"")"),"SURESTIMATION")</f>
        <v>SURESTIMATION</v>
      </c>
      <c r="D3328" s="1" t="s">
        <v>4963</v>
      </c>
    </row>
    <row r="3329" spans="1:96" ht="14.25" customHeight="1" x14ac:dyDescent="0.3">
      <c r="A3329" s="1" t="s">
        <v>3470</v>
      </c>
      <c r="B3329" s="1" t="str">
        <f ca="1">IFERROR(__xludf.DUMMYFUNCTION("GOOGLETRANSLATE(A3329, ""en"", ""fr"")"),"Surestimations")</f>
        <v>Surestimations</v>
      </c>
      <c r="D3329" s="1" t="s">
        <v>4963</v>
      </c>
    </row>
    <row r="3330" spans="1:96" ht="14.25" customHeight="1" x14ac:dyDescent="0.3">
      <c r="A3330" s="1" t="s">
        <v>3471</v>
      </c>
      <c r="B3330" s="1" t="str">
        <f ca="1">IFERROR(__xludf.DUMMYFUNCTION("GOOGLETRANSLATE(A3330, ""en"", ""fr"")"),"aérien")</f>
        <v>aérien</v>
      </c>
      <c r="CR3330" s="1" t="s">
        <v>93</v>
      </c>
    </row>
    <row r="3331" spans="1:96" ht="14.25" customHeight="1" x14ac:dyDescent="0.3">
      <c r="A3331" s="1" t="s">
        <v>3472</v>
      </c>
      <c r="B3331" s="1" t="str">
        <f ca="1">IFERROR(__xludf.DUMMYFUNCTION("GOOGLETRANSLATE(A3331, ""en"", ""fr"")"),"surchauffe")</f>
        <v>surchauffe</v>
      </c>
      <c r="M3331" s="1" t="s">
        <v>10</v>
      </c>
    </row>
    <row r="3332" spans="1:96" ht="14.25" customHeight="1" x14ac:dyDescent="0.3">
      <c r="A3332" s="1" t="s">
        <v>3473</v>
      </c>
      <c r="B3332" s="1" t="str">
        <f ca="1">IFERROR(__xludf.DUMMYFUNCTION("GOOGLETRANSLATE(A3332, ""en"", ""fr"")"),"SURCHARGE")</f>
        <v>SURCHARGE</v>
      </c>
      <c r="D3332" s="1" t="s">
        <v>4963</v>
      </c>
    </row>
    <row r="3333" spans="1:96" ht="14.25" customHeight="1" x14ac:dyDescent="0.3">
      <c r="A3333" s="1" t="s">
        <v>3474</v>
      </c>
      <c r="B3333" s="1" t="str">
        <f ca="1">IFERROR(__xludf.DUMMYFUNCTION("GOOGLETRANSLATE(A3333, ""en"", ""fr"")"),"SURCHARGÉ")</f>
        <v>SURCHARGÉ</v>
      </c>
      <c r="D3333" s="1" t="s">
        <v>4963</v>
      </c>
    </row>
    <row r="3334" spans="1:96" ht="14.25" customHeight="1" x14ac:dyDescent="0.3">
      <c r="A3334" s="1" t="s">
        <v>3475</v>
      </c>
      <c r="B3334" s="1" t="str">
        <f ca="1">IFERROR(__xludf.DUMMYFUNCTION("GOOGLETRANSLATE(A3334, ""en"", ""fr"")"),"SURCHARGE")</f>
        <v>SURCHARGE</v>
      </c>
      <c r="D3334" s="1" t="s">
        <v>4963</v>
      </c>
    </row>
    <row r="3335" spans="1:96" ht="14.25" customHeight="1" x14ac:dyDescent="0.3">
      <c r="A3335" s="1" t="s">
        <v>3476</v>
      </c>
      <c r="B3335" s="1" t="str">
        <f ca="1">IFERROR(__xludf.DUMMYFUNCTION("GOOGLETRANSLATE(A3335, ""en"", ""fr"")"),"Surcharge")</f>
        <v>Surcharge</v>
      </c>
      <c r="D3335" s="1" t="s">
        <v>4963</v>
      </c>
    </row>
    <row r="3336" spans="1:96" ht="14.25" customHeight="1" x14ac:dyDescent="0.3">
      <c r="A3336" s="1" t="s">
        <v>3477</v>
      </c>
      <c r="B3336" s="1" t="str">
        <f ca="1">IFERROR(__xludf.DUMMYFUNCTION("GOOGLETRANSLATE(A3336, ""en"", ""fr"")"),"NÉGLIGER")</f>
        <v>NÉGLIGER</v>
      </c>
      <c r="D3336" s="1" t="s">
        <v>4963</v>
      </c>
    </row>
    <row r="3337" spans="1:96" ht="14.25" customHeight="1" x14ac:dyDescent="0.3">
      <c r="A3337" s="1" t="s">
        <v>3478</v>
      </c>
      <c r="B3337" s="1" t="str">
        <f ca="1">IFERROR(__xludf.DUMMYFUNCTION("GOOGLETRANSLATE(A3337, ""en"", ""fr"")"),"Négligé")</f>
        <v>Négligé</v>
      </c>
      <c r="D3337" s="1" t="s">
        <v>4963</v>
      </c>
    </row>
    <row r="3338" spans="1:96" ht="14.25" customHeight="1" x14ac:dyDescent="0.3">
      <c r="A3338" s="1" t="s">
        <v>3479</v>
      </c>
      <c r="B3338" s="1" t="str">
        <f ca="1">IFERROR(__xludf.DUMMYFUNCTION("GOOGLETRANSLATE(A3338, ""en"", ""fr"")"),"Négligence")</f>
        <v>Négligence</v>
      </c>
      <c r="D3338" s="1" t="s">
        <v>4963</v>
      </c>
    </row>
    <row r="3339" spans="1:96" ht="14.25" customHeight="1" x14ac:dyDescent="0.3">
      <c r="A3339" s="1" t="s">
        <v>3480</v>
      </c>
      <c r="B3339" s="1" t="str">
        <f ca="1">IFERROR(__xludf.DUMMYFUNCTION("GOOGLETRANSLATE(A3339, ""en"", ""fr"")"),"Surplombant")</f>
        <v>Surplombant</v>
      </c>
      <c r="D3339" s="1" t="s">
        <v>4963</v>
      </c>
    </row>
    <row r="3340" spans="1:96" ht="14.25" customHeight="1" x14ac:dyDescent="0.3">
      <c r="A3340" s="1" t="s">
        <v>3481</v>
      </c>
      <c r="B3340" s="1" t="str">
        <f ca="1">IFERROR(__xludf.DUMMYFUNCTION("GOOGLETRANSLATE(A3340, ""en"", ""fr"")"),"Trop payant")</f>
        <v>Trop payant</v>
      </c>
      <c r="D3340" s="1" t="s">
        <v>4963</v>
      </c>
    </row>
    <row r="3341" spans="1:96" ht="14.25" customHeight="1" x14ac:dyDescent="0.3">
      <c r="A3341" s="1" t="s">
        <v>3482</v>
      </c>
      <c r="B3341" s="1" t="str">
        <f ca="1">IFERROR(__xludf.DUMMYFUNCTION("GOOGLETRANSLATE(A3341, ""en"", ""fr"")"),"Trop-payé")</f>
        <v>Trop-payé</v>
      </c>
      <c r="D3341" s="1" t="s">
        <v>4963</v>
      </c>
    </row>
    <row r="3342" spans="1:96" ht="14.25" customHeight="1" x14ac:dyDescent="0.3">
      <c r="A3342" s="1" t="s">
        <v>3483</v>
      </c>
      <c r="B3342" s="1" t="str">
        <f ca="1">IFERROR(__xludf.DUMMYFUNCTION("GOOGLETRANSLATE(A3342, ""en"", ""fr"")"),"Trop-payés")</f>
        <v>Trop-payés</v>
      </c>
      <c r="D3342" s="1" t="s">
        <v>4963</v>
      </c>
    </row>
    <row r="3343" spans="1:96" ht="14.25" customHeight="1" x14ac:dyDescent="0.3">
      <c r="A3343" s="1" t="s">
        <v>3484</v>
      </c>
      <c r="B3343" s="1" t="str">
        <f ca="1">IFERROR(__xludf.DUMMYFUNCTION("GOOGLETRANSLATE(A3343, ""en"", ""fr"")"),"Trop produit")</f>
        <v>Trop produit</v>
      </c>
      <c r="D3343" s="1" t="s">
        <v>4963</v>
      </c>
    </row>
    <row r="3344" spans="1:96" ht="14.25" customHeight="1" x14ac:dyDescent="0.3">
      <c r="A3344" s="1" t="s">
        <v>3485</v>
      </c>
      <c r="B3344" s="1" t="str">
        <f ca="1">IFERROR(__xludf.DUMMYFUNCTION("GOOGLETRANSLATE(A3344, ""en"", ""fr"")"),"Surproduction")</f>
        <v>Surproduction</v>
      </c>
      <c r="D3344" s="1" t="s">
        <v>4963</v>
      </c>
    </row>
    <row r="3345" spans="1:4" ht="14.25" customHeight="1" x14ac:dyDescent="0.3">
      <c r="A3345" s="1" t="s">
        <v>3486</v>
      </c>
      <c r="B3345" s="1" t="str">
        <f ca="1">IFERROR(__xludf.DUMMYFUNCTION("GOOGLETRANSLATE(A3345, ""en"", ""fr"")"),"Trop produisant")</f>
        <v>Trop produisant</v>
      </c>
      <c r="D3345" s="1" t="s">
        <v>4963</v>
      </c>
    </row>
    <row r="3346" spans="1:4" ht="14.25" customHeight="1" x14ac:dyDescent="0.3">
      <c r="A3346" s="1" t="s">
        <v>3487</v>
      </c>
      <c r="B3346" s="1" t="str">
        <f ca="1">IFERROR(__xludf.DUMMYFUNCTION("GOOGLETRANSLATE(A3346, ""en"", ""fr"")"),"SURPRODUCTION")</f>
        <v>SURPRODUCTION</v>
      </c>
      <c r="D3346" s="1" t="s">
        <v>4963</v>
      </c>
    </row>
    <row r="3347" spans="1:4" ht="14.25" customHeight="1" x14ac:dyDescent="0.3">
      <c r="A3347" s="1" t="s">
        <v>3488</v>
      </c>
      <c r="B3347" s="1" t="str">
        <f ca="1">IFERROR(__xludf.DUMMYFUNCTION("GOOGLETRANSLATE(A3347, ""en"", ""fr"")"),"ENVAHI")</f>
        <v>ENVAHI</v>
      </c>
      <c r="D3347" s="1" t="s">
        <v>4963</v>
      </c>
    </row>
    <row r="3348" spans="1:4" ht="14.25" customHeight="1" x14ac:dyDescent="0.3">
      <c r="A3348" s="1" t="s">
        <v>3489</v>
      </c>
      <c r="B3348" s="1" t="str">
        <f ca="1">IFERROR(__xludf.DUMMYFUNCTION("GOOGLETRANSLATE(A3348, ""en"", ""fr"")"),"Dépassement")</f>
        <v>Dépassement</v>
      </c>
      <c r="D3348" s="1" t="s">
        <v>4963</v>
      </c>
    </row>
    <row r="3349" spans="1:4" ht="14.25" customHeight="1" x14ac:dyDescent="0.3">
      <c r="A3349" s="1" t="s">
        <v>3490</v>
      </c>
      <c r="B3349" s="1" t="str">
        <f ca="1">IFERROR(__xludf.DUMMYFUNCTION("GOOGLETRANSLATE(A3349, ""en"", ""fr"")"),"Dépassement")</f>
        <v>Dépassement</v>
      </c>
      <c r="D3349" s="1" t="s">
        <v>4963</v>
      </c>
    </row>
    <row r="3350" spans="1:4" ht="14.25" customHeight="1" x14ac:dyDescent="0.3">
      <c r="A3350" s="1" t="s">
        <v>3491</v>
      </c>
      <c r="B3350" s="1" t="str">
        <f ca="1">IFERROR(__xludf.DUMMYFUNCTION("GOOGLETRANSLATE(A3350, ""en"", ""fr"")"),"ÉCLIPSER")</f>
        <v>ÉCLIPSER</v>
      </c>
      <c r="D3350" s="1" t="s">
        <v>4963</v>
      </c>
    </row>
    <row r="3351" spans="1:4" ht="14.25" customHeight="1" x14ac:dyDescent="0.3">
      <c r="A3351" s="1" t="s">
        <v>3492</v>
      </c>
      <c r="B3351" s="1" t="str">
        <f ca="1">IFERROR(__xludf.DUMMYFUNCTION("GOOGLETRANSLATE(A3351, ""en"", ""fr"")"),"Éclipsé")</f>
        <v>Éclipsé</v>
      </c>
      <c r="D3351" s="1" t="s">
        <v>4963</v>
      </c>
    </row>
    <row r="3352" spans="1:4" ht="14.25" customHeight="1" x14ac:dyDescent="0.3">
      <c r="A3352" s="1" t="s">
        <v>3493</v>
      </c>
      <c r="B3352" s="1" t="str">
        <f ca="1">IFERROR(__xludf.DUMMYFUNCTION("GOOGLETRANSLATE(A3352, ""en"", ""fr"")"),"Écart")</f>
        <v>Écart</v>
      </c>
      <c r="D3352" s="1" t="s">
        <v>4963</v>
      </c>
    </row>
    <row r="3353" spans="1:4" ht="14.25" customHeight="1" x14ac:dyDescent="0.3">
      <c r="A3353" s="1" t="s">
        <v>3494</v>
      </c>
      <c r="B3353" s="1" t="str">
        <f ca="1">IFERROR(__xludf.DUMMYFUNCTION("GOOGLETRANSLATE(A3353, ""en"", ""fr"")"),"Éclipser")</f>
        <v>Éclipser</v>
      </c>
      <c r="D3353" s="1" t="s">
        <v>4963</v>
      </c>
    </row>
    <row r="3354" spans="1:4" ht="14.25" customHeight="1" x14ac:dyDescent="0.3">
      <c r="A3354" s="1" t="s">
        <v>3495</v>
      </c>
      <c r="B3354" s="1" t="str">
        <f ca="1">IFERROR(__xludf.DUMMYFUNCTION("GOOGLETRANSLATE(A3354, ""en"", ""fr"")"),"EXAGÉRER")</f>
        <v>EXAGÉRER</v>
      </c>
      <c r="D3354" s="1" t="s">
        <v>4963</v>
      </c>
    </row>
    <row r="3355" spans="1:4" ht="14.25" customHeight="1" x14ac:dyDescent="0.3">
      <c r="A3355" s="1" t="s">
        <v>3496</v>
      </c>
      <c r="B3355" s="1" t="str">
        <f ca="1">IFERROR(__xludf.DUMMYFUNCTION("GOOGLETRANSLATE(A3355, ""en"", ""fr"")"),"Surestimé")</f>
        <v>Surestimé</v>
      </c>
      <c r="D3355" s="1" t="s">
        <v>4963</v>
      </c>
    </row>
    <row r="3356" spans="1:4" ht="14.25" customHeight="1" x14ac:dyDescent="0.3">
      <c r="A3356" s="1" t="s">
        <v>3497</v>
      </c>
      <c r="B3356" s="1" t="str">
        <f ca="1">IFERROR(__xludf.DUMMYFUNCTION("GOOGLETRANSLATE(A3356, ""en"", ""fr"")"),"EXAGÉRATION")</f>
        <v>EXAGÉRATION</v>
      </c>
      <c r="D3356" s="1" t="s">
        <v>4963</v>
      </c>
    </row>
    <row r="3357" spans="1:4" ht="14.25" customHeight="1" x14ac:dyDescent="0.3">
      <c r="A3357" s="1" t="s">
        <v>3498</v>
      </c>
      <c r="B3357" s="1" t="str">
        <f ca="1">IFERROR(__xludf.DUMMYFUNCTION("GOOGLETRANSLATE(A3357, ""en"", ""fr"")"),"Surévaluation")</f>
        <v>Surévaluation</v>
      </c>
      <c r="D3357" s="1" t="s">
        <v>4963</v>
      </c>
    </row>
    <row r="3358" spans="1:4" ht="14.25" customHeight="1" x14ac:dyDescent="0.3">
      <c r="A3358" s="1" t="s">
        <v>3499</v>
      </c>
      <c r="B3358" s="1" t="str">
        <f ca="1">IFERROR(__xludf.DUMMYFUNCTION("GOOGLETRANSLATE(A3358, ""en"", ""fr"")"),"Surestimales")</f>
        <v>Surestimales</v>
      </c>
      <c r="D3358" s="1" t="s">
        <v>4963</v>
      </c>
    </row>
    <row r="3359" spans="1:4" ht="14.25" customHeight="1" x14ac:dyDescent="0.3">
      <c r="A3359" s="1" t="s">
        <v>3500</v>
      </c>
      <c r="B3359" s="1" t="str">
        <f ca="1">IFERROR(__xludf.DUMMYFUNCTION("GOOGLETRANSLATE(A3359, ""en"", ""fr"")"),"Surévalué")</f>
        <v>Surévalué</v>
      </c>
      <c r="D3359" s="1" t="s">
        <v>4963</v>
      </c>
    </row>
    <row r="3360" spans="1:4" ht="14.25" customHeight="1" x14ac:dyDescent="0.3">
      <c r="A3360" s="1" t="s">
        <v>3501</v>
      </c>
      <c r="B3360" s="1" t="str">
        <f ca="1">IFERROR(__xludf.DUMMYFUNCTION("GOOGLETRANSLATE(A3360, ""en"", ""fr"")"),"Exagéré")</f>
        <v>Exagéré</v>
      </c>
      <c r="D3360" s="1" t="s">
        <v>4963</v>
      </c>
    </row>
    <row r="3361" spans="1:97" ht="14.25" customHeight="1" x14ac:dyDescent="0.3">
      <c r="A3361" s="1" t="s">
        <v>3502</v>
      </c>
      <c r="B3361" s="1" t="str">
        <f ca="1">IFERROR(__xludf.DUMMYFUNCTION("GOOGLETRANSLATE(A3361, ""en"", ""fr"")"),"Offrir des excès de sursis")</f>
        <v>Offrir des excès de sursis</v>
      </c>
      <c r="D3361" s="1" t="s">
        <v>4963</v>
      </c>
    </row>
    <row r="3362" spans="1:97" ht="14.25" customHeight="1" x14ac:dyDescent="0.3">
      <c r="A3362" s="1" t="s">
        <v>3503</v>
      </c>
      <c r="B3362" s="1" t="str">
        <f ca="1">IFERROR(__xludf.DUMMYFUNCTION("GOOGLETRANSLATE(A3362, ""en"", ""fr"")"),"Offrez des experts")</f>
        <v>Offrez des experts</v>
      </c>
      <c r="D3362" s="1" t="s">
        <v>4963</v>
      </c>
    </row>
    <row r="3363" spans="1:97" ht="14.25" customHeight="1" x14ac:dyDescent="0.3">
      <c r="A3363" s="1" t="s">
        <v>3504</v>
      </c>
      <c r="B3363" s="1" t="str">
        <f ca="1">IFERROR(__xludf.DUMMYFUNCTION("GOOGLETRANSLATE(A3363, ""en"", ""fr"")"),"Excédentaire")</f>
        <v>Excédentaire</v>
      </c>
      <c r="D3363" s="1" t="s">
        <v>4963</v>
      </c>
    </row>
    <row r="3364" spans="1:97" ht="14.25" customHeight="1" x14ac:dyDescent="0.3">
      <c r="A3364" s="1" t="s">
        <v>3505</v>
      </c>
      <c r="B3364" s="1" t="str">
        <f ca="1">IFERROR(__xludf.DUMMYFUNCTION("GOOGLETRANSLATE(A3364, ""en"", ""fr"")"),"OUVERTEMENT")</f>
        <v>OUVERTEMENT</v>
      </c>
      <c r="D3364" s="1" t="s">
        <v>4963</v>
      </c>
    </row>
    <row r="3365" spans="1:97" ht="14.25" customHeight="1" x14ac:dyDescent="0.3">
      <c r="A3365" s="1" t="s">
        <v>3506</v>
      </c>
      <c r="B3365" s="1" t="str">
        <f ca="1">IFERROR(__xludf.DUMMYFUNCTION("GOOGLETRANSLATE(A3365, ""en"", ""fr"")"),"RENVERSER")</f>
        <v>RENVERSER</v>
      </c>
      <c r="D3365" s="1" t="s">
        <v>4963</v>
      </c>
    </row>
    <row r="3366" spans="1:97" ht="14.25" customHeight="1" x14ac:dyDescent="0.3">
      <c r="A3366" s="1" t="s">
        <v>3507</v>
      </c>
      <c r="B3366" s="1" t="str">
        <f ca="1">IFERROR(__xludf.DUMMYFUNCTION("GOOGLETRANSLATE(A3366, ""en"", ""fr"")"),"RENVERSÉ")</f>
        <v>RENVERSÉ</v>
      </c>
      <c r="D3366" s="1" t="s">
        <v>4963</v>
      </c>
    </row>
    <row r="3367" spans="1:97" ht="14.25" customHeight="1" x14ac:dyDescent="0.3">
      <c r="A3367" s="1" t="s">
        <v>3508</v>
      </c>
      <c r="B3367" s="1" t="str">
        <f ca="1">IFERROR(__xludf.DUMMYFUNCTION("GOOGLETRANSLATE(A3367, ""en"", ""fr"")"),"Renversement")</f>
        <v>Renversement</v>
      </c>
      <c r="D3367" s="1" t="s">
        <v>4963</v>
      </c>
    </row>
    <row r="3368" spans="1:97" ht="14.25" customHeight="1" x14ac:dyDescent="0.3">
      <c r="A3368" s="1" t="s">
        <v>3509</v>
      </c>
      <c r="B3368" s="1" t="str">
        <f ca="1">IFERROR(__xludf.DUMMYFUNCTION("GOOGLETRANSLATE(A3368, ""en"", ""fr"")"),"Dépôts")</f>
        <v>Dépôts</v>
      </c>
      <c r="D3368" s="1" t="s">
        <v>4963</v>
      </c>
    </row>
    <row r="3369" spans="1:97" ht="14.25" customHeight="1" x14ac:dyDescent="0.3">
      <c r="A3369" s="1" t="s">
        <v>3510</v>
      </c>
      <c r="B3369" s="1" t="str">
        <f ca="1">IFERROR(__xludf.DUMMYFUNCTION("GOOGLETRANSLATE(A3369, ""en"", ""fr"")"),"SURÉVALUER")</f>
        <v>SURÉVALUER</v>
      </c>
      <c r="D3369" s="1" t="s">
        <v>4963</v>
      </c>
    </row>
    <row r="3370" spans="1:97" ht="14.25" customHeight="1" x14ac:dyDescent="0.3">
      <c r="A3370" s="1" t="s">
        <v>3511</v>
      </c>
      <c r="B3370" s="1" t="str">
        <f ca="1">IFERROR(__xludf.DUMMYFUNCTION("GOOGLETRANSLATE(A3370, ""en"", ""fr"")"),"surévalué")</f>
        <v>surévalué</v>
      </c>
      <c r="M3370" s="1" t="s">
        <v>10</v>
      </c>
    </row>
    <row r="3371" spans="1:97" ht="14.25" customHeight="1" x14ac:dyDescent="0.3">
      <c r="A3371" s="1" t="s">
        <v>3512</v>
      </c>
      <c r="B3371" s="1" t="str">
        <f ca="1">IFERROR(__xludf.DUMMYFUNCTION("GOOGLETRANSLATE(A3371, ""en"", ""fr"")"),"Surévaluation")</f>
        <v>Surévaluation</v>
      </c>
      <c r="D3371" s="1" t="s">
        <v>4963</v>
      </c>
    </row>
    <row r="3372" spans="1:97" ht="14.25" customHeight="1" x14ac:dyDescent="0.3">
      <c r="A3372" s="1" t="s">
        <v>3513</v>
      </c>
      <c r="B3372" s="1" t="str">
        <f ca="1">IFERROR(__xludf.DUMMYFUNCTION("GOOGLETRANSLATE(A3372, ""en"", ""fr"")"),"propre")</f>
        <v>propre</v>
      </c>
      <c r="J3372" s="1" t="s">
        <v>7</v>
      </c>
    </row>
    <row r="3373" spans="1:97" ht="14.25" customHeight="1" x14ac:dyDescent="0.3">
      <c r="A3373" s="1" t="s">
        <v>3514</v>
      </c>
      <c r="B3373" s="1" t="str">
        <f ca="1">IFERROR(__xludf.DUMMYFUNCTION("GOOGLETRANSLATE(A3373, ""en"", ""fr"")"),"capitaux propres des propriétaires")</f>
        <v>capitaux propres des propriétaires</v>
      </c>
      <c r="CR3373" s="1" t="s">
        <v>93</v>
      </c>
    </row>
    <row r="3374" spans="1:97" ht="14.25" customHeight="1" x14ac:dyDescent="0.3">
      <c r="A3374" s="1" t="s">
        <v>3515</v>
      </c>
      <c r="B3374" s="1" t="str">
        <f ca="1">IFERROR(__xludf.DUMMYFUNCTION("GOOGLETRANSLATE(A3374, ""en"", ""fr"")"),"Oxydation")</f>
        <v>Oxydation</v>
      </c>
      <c r="E3374" s="1" t="s">
        <v>3</v>
      </c>
    </row>
    <row r="3375" spans="1:97" ht="14.25" customHeight="1" x14ac:dyDescent="0.3">
      <c r="A3375" s="1" t="s">
        <v>3516</v>
      </c>
      <c r="B3375" s="1" t="str">
        <f ca="1">IFERROR(__xludf.DUMMYFUNCTION("GOOGLETRANSLATE(A3375, ""en"", ""fr"")"),"PL")</f>
        <v>PL</v>
      </c>
      <c r="CR3375" s="1" t="s">
        <v>93</v>
      </c>
    </row>
    <row r="3376" spans="1:97" ht="14.25" customHeight="1" x14ac:dyDescent="0.3">
      <c r="A3376" s="1" t="s">
        <v>3517</v>
      </c>
      <c r="B3376" s="1" t="str">
        <f ca="1">IFERROR(__xludf.DUMMYFUNCTION("GOOGLETRANSLATE(A3376, ""en"", ""fr"")"),"Palanca")</f>
        <v>Palanca</v>
      </c>
      <c r="R3376" s="1" t="s">
        <v>15</v>
      </c>
      <c r="CS3376" s="1" t="s">
        <v>94</v>
      </c>
    </row>
    <row r="3377" spans="1:132" ht="14.25" customHeight="1" x14ac:dyDescent="0.3">
      <c r="A3377" s="1" t="s">
        <v>3518</v>
      </c>
      <c r="B3377" s="1" t="str">
        <f ca="1">IFERROR(__xludf.DUMMYFUNCTION("GOOGLETRANSLATE(A3377, ""en"", ""fr"")"),"PANIQUE")</f>
        <v>PANIQUE</v>
      </c>
      <c r="D3377" s="1" t="s">
        <v>4963</v>
      </c>
    </row>
    <row r="3378" spans="1:132" ht="14.25" customHeight="1" x14ac:dyDescent="0.3">
      <c r="A3378" s="1" t="s">
        <v>3519</v>
      </c>
      <c r="B3378" s="1" t="str">
        <f ca="1">IFERROR(__xludf.DUMMYFUNCTION("GOOGLETRANSLATE(A3378, ""en"", ""fr"")"),"Panique")</f>
        <v>Panique</v>
      </c>
      <c r="D3378" s="1" t="s">
        <v>4963</v>
      </c>
    </row>
    <row r="3379" spans="1:132" ht="14.25" customHeight="1" x14ac:dyDescent="0.3">
      <c r="A3379" s="1" t="s">
        <v>3520</v>
      </c>
      <c r="B3379" s="1" t="str">
        <f ca="1">IFERROR(__xludf.DUMMYFUNCTION("GOOGLETRANSLATE(A3379, ""en"", ""fr"")"),"raffinerie Panipat")</f>
        <v>raffinerie Panipat</v>
      </c>
      <c r="X3379" s="1" t="s">
        <v>21</v>
      </c>
      <c r="AM3379" s="1" t="s">
        <v>36</v>
      </c>
      <c r="BF3379" s="1" t="s">
        <v>55</v>
      </c>
      <c r="CI3379" s="1" t="s">
        <v>84</v>
      </c>
      <c r="EB3379" s="1" t="s">
        <v>129</v>
      </c>
    </row>
    <row r="3380" spans="1:132" ht="14.25" customHeight="1" x14ac:dyDescent="0.3">
      <c r="A3380" s="1" t="s">
        <v>3521</v>
      </c>
      <c r="B3380" s="1" t="str">
        <f ca="1">IFERROR(__xludf.DUMMYFUNCTION("GOOGLETRANSLATE(A3380, ""en"", ""fr"")"),"Panyu")</f>
        <v>Panyu</v>
      </c>
      <c r="R3380" s="1" t="s">
        <v>15</v>
      </c>
      <c r="CS3380" s="1" t="s">
        <v>94</v>
      </c>
    </row>
    <row r="3381" spans="1:132" ht="14.25" customHeight="1" x14ac:dyDescent="0.3">
      <c r="A3381" s="1" t="s">
        <v>3522</v>
      </c>
      <c r="B3381" s="1" t="str">
        <f ca="1">IFERROR(__xludf.DUMMYFUNCTION("GOOGLETRANSLATE(A3381, ""en"", ""fr"")"),"valeur nominale")</f>
        <v>valeur nominale</v>
      </c>
      <c r="CR3381" s="1" t="s">
        <v>93</v>
      </c>
    </row>
    <row r="3382" spans="1:132" ht="14.25" customHeight="1" x14ac:dyDescent="0.3">
      <c r="A3382" s="1" t="s">
        <v>3523</v>
      </c>
      <c r="B3382" s="1" t="str">
        <f ca="1">IFERROR(__xludf.DUMMYFUNCTION("GOOGLETRANSLATE(A3382, ""en"", ""fr"")"),"complexe de raffinage paraguana")</f>
        <v>complexe de raffinage paraguana</v>
      </c>
      <c r="BF3382" s="1" t="s">
        <v>55</v>
      </c>
      <c r="BZ3382" s="1" t="s">
        <v>75</v>
      </c>
      <c r="DA3382" s="1" t="s">
        <v>102</v>
      </c>
      <c r="DB3382" s="1" t="s">
        <v>103</v>
      </c>
    </row>
    <row r="3383" spans="1:132" ht="14.25" customHeight="1" x14ac:dyDescent="0.3">
      <c r="A3383" s="1" t="s">
        <v>3524</v>
      </c>
      <c r="B3383" s="1" t="str">
        <f ca="1">IFERROR(__xludf.DUMMYFUNCTION("GOOGLETRANSLATE(A3383, ""en"", ""fr"")"),"amélioration de Pareto")</f>
        <v>amélioration de Pareto</v>
      </c>
      <c r="M3383" s="1" t="s">
        <v>10</v>
      </c>
    </row>
    <row r="3384" spans="1:132" ht="14.25" customHeight="1" x14ac:dyDescent="0.3">
      <c r="A3384" s="1" t="s">
        <v>3525</v>
      </c>
      <c r="B3384" s="1" t="str">
        <f ca="1">IFERROR(__xludf.DUMMYFUNCTION("GOOGLETRANSLATE(A3384, ""en"", ""fr"")"),"La loi de Pareto")</f>
        <v>La loi de Pareto</v>
      </c>
      <c r="M3384" s="1" t="s">
        <v>10</v>
      </c>
    </row>
    <row r="3385" spans="1:132" ht="14.25" customHeight="1" x14ac:dyDescent="0.3">
      <c r="A3385" s="1" t="s">
        <v>3526</v>
      </c>
      <c r="B3385" s="1" t="str">
        <f ca="1">IFERROR(__xludf.DUMMYFUNCTION("GOOGLETRANSLATE(A3385, ""en"", ""fr"")"),"Payer")</f>
        <v>Payer</v>
      </c>
      <c r="E3385" s="1" t="s">
        <v>3</v>
      </c>
    </row>
    <row r="3386" spans="1:132" ht="14.25" customHeight="1" x14ac:dyDescent="0.3">
      <c r="A3386" s="1" t="s">
        <v>3527</v>
      </c>
      <c r="B3386" s="1" t="str">
        <f ca="1">IFERROR(__xludf.DUMMYFUNCTION("GOOGLETRANSLATE(A3386, ""en"", ""fr"")"),"dettes")</f>
        <v>dettes</v>
      </c>
      <c r="CR3386" s="1" t="s">
        <v>93</v>
      </c>
    </row>
    <row r="3387" spans="1:132" ht="14.25" customHeight="1" x14ac:dyDescent="0.3">
      <c r="A3387" s="1" t="s">
        <v>3528</v>
      </c>
      <c r="B3387" s="1" t="str">
        <f ca="1">IFERROR(__xludf.DUMMYFUNCTION("GOOGLETRANSLATE(A3387, ""en"", ""fr"")"),"paie")</f>
        <v>paie</v>
      </c>
      <c r="CR3387" s="1" t="s">
        <v>93</v>
      </c>
    </row>
    <row r="3388" spans="1:132" ht="14.25" customHeight="1" x14ac:dyDescent="0.3">
      <c r="A3388" s="1" t="s">
        <v>3529</v>
      </c>
      <c r="B3388" s="1" t="str">
        <f ca="1">IFERROR(__xludf.DUMMYFUNCTION("GOOGLETRANSLATE(A3388, ""en"", ""fr"")"),"pdvsa")</f>
        <v>pdvsa</v>
      </c>
      <c r="CL3388" s="1" t="s">
        <v>87</v>
      </c>
      <c r="DA3388" s="1" t="s">
        <v>102</v>
      </c>
      <c r="DT3388" s="1" t="s">
        <v>121</v>
      </c>
    </row>
    <row r="3389" spans="1:132" ht="14.25" customHeight="1" x14ac:dyDescent="0.3">
      <c r="A3389" s="1" t="s">
        <v>3530</v>
      </c>
      <c r="B3389" s="1" t="str">
        <f ca="1">IFERROR(__xludf.DUMMYFUNCTION("GOOGLETRANSLATE(A3389, ""en"", ""fr"")"),"p-e")</f>
        <v>p-e</v>
      </c>
      <c r="CR3389" s="1" t="s">
        <v>93</v>
      </c>
    </row>
    <row r="3390" spans="1:132" ht="14.25" customHeight="1" x14ac:dyDescent="0.3">
      <c r="A3390" s="1" t="s">
        <v>3531</v>
      </c>
      <c r="B3390" s="1" t="str">
        <f ca="1">IFERROR(__xludf.DUMMYFUNCTION("GOOGLETRANSLATE(A3390, ""en"", ""fr"")"),"Dividende de la paix")</f>
        <v>Dividende de la paix</v>
      </c>
      <c r="M3390" s="1" t="s">
        <v>10</v>
      </c>
    </row>
    <row r="3391" spans="1:132" ht="14.25" customHeight="1" x14ac:dyDescent="0.3">
      <c r="A3391" s="1" t="s">
        <v>3532</v>
      </c>
      <c r="B3391" s="1" t="str">
        <f ca="1">IFERROR(__xludf.DUMMYFUNCTION("GOOGLETRANSLATE(A3391, ""en"", ""fr"")"),"pemex")</f>
        <v>pemex</v>
      </c>
      <c r="BI3391" s="1" t="s">
        <v>58</v>
      </c>
      <c r="DE3391" s="1" t="s">
        <v>106</v>
      </c>
      <c r="DT3391" s="1" t="s">
        <v>121</v>
      </c>
    </row>
    <row r="3392" spans="1:132" ht="14.25" customHeight="1" x14ac:dyDescent="0.3">
      <c r="A3392" s="1" t="s">
        <v>3533</v>
      </c>
      <c r="B3392" s="1" t="str">
        <f ca="1">IFERROR(__xludf.DUMMYFUNCTION("GOOGLETRANSLATE(A3392, ""en"", ""fr"")"),"PÉNALISER")</f>
        <v>PÉNALISER</v>
      </c>
      <c r="D3392" s="1" t="s">
        <v>4963</v>
      </c>
    </row>
    <row r="3393" spans="1:142" ht="14.25" customHeight="1" x14ac:dyDescent="0.3">
      <c r="A3393" s="1" t="s">
        <v>3534</v>
      </c>
      <c r="B3393" s="1" t="str">
        <f ca="1">IFERROR(__xludf.DUMMYFUNCTION("GOOGLETRANSLATE(A3393, ""en"", ""fr"")"),"Pénalisé")</f>
        <v>Pénalisé</v>
      </c>
      <c r="D3393" s="1" t="s">
        <v>4963</v>
      </c>
    </row>
    <row r="3394" spans="1:142" ht="14.25" customHeight="1" x14ac:dyDescent="0.3">
      <c r="A3394" s="1" t="s">
        <v>3535</v>
      </c>
      <c r="B3394" s="1" t="str">
        <f ca="1">IFERROR(__xludf.DUMMYFUNCTION("GOOGLETRANSLATE(A3394, ""en"", ""fr"")"),"Pénaliser")</f>
        <v>Pénaliser</v>
      </c>
      <c r="D3394" s="1" t="s">
        <v>4963</v>
      </c>
    </row>
    <row r="3395" spans="1:142" ht="14.25" customHeight="1" x14ac:dyDescent="0.3">
      <c r="A3395" s="1" t="s">
        <v>3536</v>
      </c>
      <c r="B3395" s="1" t="str">
        <f ca="1">IFERROR(__xludf.DUMMYFUNCTION("GOOGLETRANSLATE(A3395, ""en"", ""fr"")"),"PÉNALISATION")</f>
        <v>PÉNALISATION</v>
      </c>
      <c r="D3395" s="1" t="s">
        <v>4963</v>
      </c>
    </row>
    <row r="3396" spans="1:142" ht="14.25" customHeight="1" x14ac:dyDescent="0.3">
      <c r="A3396" s="1" t="s">
        <v>3537</v>
      </c>
      <c r="B3396" s="1" t="str">
        <f ca="1">IFERROR(__xludf.DUMMYFUNCTION("GOOGLETRANSLATE(A3396, ""en"", ""fr"")"),"Pénalités")</f>
        <v>Pénalités</v>
      </c>
      <c r="D3396" s="1" t="s">
        <v>4963</v>
      </c>
    </row>
    <row r="3397" spans="1:142" ht="14.25" customHeight="1" x14ac:dyDescent="0.3">
      <c r="A3397" s="1" t="s">
        <v>3538</v>
      </c>
      <c r="B3397" s="1" t="str">
        <f ca="1">IFERROR(__xludf.DUMMYFUNCTION("GOOGLETRANSLATE(A3397, ""en"", ""fr"")"),"PEINE")</f>
        <v>PEINE</v>
      </c>
      <c r="D3397" s="1" t="s">
        <v>4963</v>
      </c>
    </row>
    <row r="3398" spans="1:142" ht="14.25" customHeight="1" x14ac:dyDescent="0.3">
      <c r="A3398" s="1" t="s">
        <v>3539</v>
      </c>
      <c r="B3398" s="1" t="str">
        <f ca="1">IFERROR(__xludf.DUMMYFUNCTION("GOOGLETRANSLATE(A3398, ""en"", ""fr"")"),"Ventes de maisons en attente")</f>
        <v>Ventes de maisons en attente</v>
      </c>
      <c r="M3398" s="1" t="s">
        <v>10</v>
      </c>
    </row>
    <row r="3399" spans="1:142" ht="14.25" customHeight="1" x14ac:dyDescent="0.3">
      <c r="A3399" s="1" t="s">
        <v>3540</v>
      </c>
      <c r="B3399" s="1" t="str">
        <f ca="1">IFERROR(__xludf.DUMMYFUNCTION("GOOGLETRANSLATE(A3399, ""en"", ""fr"")"),"Peng Lai")</f>
        <v>Peng Lai</v>
      </c>
      <c r="R3399" s="1" t="s">
        <v>15</v>
      </c>
      <c r="CS3399" s="1" t="s">
        <v>94</v>
      </c>
    </row>
    <row r="3400" spans="1:142" ht="14.25" customHeight="1" x14ac:dyDescent="0.3">
      <c r="A3400" s="1" t="s">
        <v>3541</v>
      </c>
      <c r="B3400" s="1" t="str">
        <f ca="1">IFERROR(__xludf.DUMMYFUNCTION("GOOGLETRANSLATE(A3400, ""en"", ""fr"")"),"Pennington")</f>
        <v>Pennington</v>
      </c>
      <c r="R3400" s="1" t="s">
        <v>15</v>
      </c>
      <c r="CS3400" s="1" t="s">
        <v>94</v>
      </c>
    </row>
    <row r="3401" spans="1:142" ht="14.25" customHeight="1" x14ac:dyDescent="0.3">
      <c r="A3401" s="1" t="s">
        <v>3542</v>
      </c>
      <c r="B3401" s="1" t="str">
        <f ca="1">IFERROR(__xludf.DUMMYFUNCTION("GOOGLETRANSLATE(A3401, ""en"", ""fr"")"),"Pentanes plus")</f>
        <v>Pentanes plus</v>
      </c>
      <c r="EL3401" s="1" t="s">
        <v>139</v>
      </c>
    </row>
    <row r="3402" spans="1:142" ht="14.25" customHeight="1" x14ac:dyDescent="0.3">
      <c r="A3402" s="1" t="s">
        <v>3543</v>
      </c>
      <c r="B3402" s="1" t="str">
        <f ca="1">IFERROR(__xludf.DUMMYFUNCTION("GOOGLETRANSLATE(A3402, ""en"", ""fr"")"),"par habitant")</f>
        <v>par habitant</v>
      </c>
      <c r="M3402" s="1" t="s">
        <v>10</v>
      </c>
    </row>
    <row r="3403" spans="1:142" ht="14.25" customHeight="1" x14ac:dyDescent="0.3">
      <c r="A3403" s="1" t="s">
        <v>3544</v>
      </c>
      <c r="B3403" s="1" t="str">
        <f ca="1">IFERROR(__xludf.DUMMYFUNCTION("GOOGLETRANSLATE(A3403, ""en"", ""fr"")"),"le revenu par habitant")</f>
        <v>le revenu par habitant</v>
      </c>
      <c r="M3403" s="1" t="s">
        <v>10</v>
      </c>
    </row>
    <row r="3404" spans="1:142" ht="14.25" customHeight="1" x14ac:dyDescent="0.3">
      <c r="A3404" s="1" t="s">
        <v>3545</v>
      </c>
      <c r="B3404" s="1" t="str">
        <f ca="1">IFERROR(__xludf.DUMMYFUNCTION("GOOGLETRANSLATE(A3404, ""en"", ""fr"")"),"PARFAIT")</f>
        <v>PARFAIT</v>
      </c>
      <c r="H3404" s="1" t="s">
        <v>4964</v>
      </c>
    </row>
    <row r="3405" spans="1:142" ht="14.25" customHeight="1" x14ac:dyDescent="0.3">
      <c r="A3405" s="1" t="s">
        <v>3546</v>
      </c>
      <c r="B3405" s="1" t="str">
        <f ca="1">IFERROR(__xludf.DUMMYFUNCTION("GOOGLETRANSLATE(A3405, ""en"", ""fr"")"),"Perfectionné")</f>
        <v>Perfectionné</v>
      </c>
      <c r="H3405" s="1" t="s">
        <v>4964</v>
      </c>
    </row>
    <row r="3406" spans="1:142" ht="14.25" customHeight="1" x14ac:dyDescent="0.3">
      <c r="A3406" s="1" t="s">
        <v>3547</v>
      </c>
      <c r="B3406" s="1" t="str">
        <f ca="1">IFERROR(__xludf.DUMMYFUNCTION("GOOGLETRANSLATE(A3406, ""en"", ""fr"")"),"À LA PERFECTION")</f>
        <v>À LA PERFECTION</v>
      </c>
      <c r="H3406" s="1" t="s">
        <v>4964</v>
      </c>
    </row>
    <row r="3407" spans="1:142" ht="14.25" customHeight="1" x14ac:dyDescent="0.3">
      <c r="A3407" s="1" t="s">
        <v>3548</v>
      </c>
      <c r="B3407" s="1" t="str">
        <f ca="1">IFERROR(__xludf.DUMMYFUNCTION("GOOGLETRANSLATE(A3407, ""en"", ""fr"")"),"Perfection")</f>
        <v>Perfection</v>
      </c>
      <c r="H3407" s="1" t="s">
        <v>4964</v>
      </c>
    </row>
    <row r="3408" spans="1:142" ht="14.25" customHeight="1" x14ac:dyDescent="0.3">
      <c r="A3408" s="1" t="s">
        <v>3549</v>
      </c>
      <c r="B3408" s="1" t="str">
        <f ca="1">IFERROR(__xludf.DUMMYFUNCTION("GOOGLETRANSLATE(A3408, ""en"", ""fr"")"),"PÉRIL")</f>
        <v>PÉRIL</v>
      </c>
      <c r="D3408" s="1" t="s">
        <v>4963</v>
      </c>
    </row>
    <row r="3409" spans="1:132" ht="14.25" customHeight="1" x14ac:dyDescent="0.3">
      <c r="A3409" s="1" t="s">
        <v>3550</v>
      </c>
      <c r="B3409" s="1" t="str">
        <f ca="1">IFERROR(__xludf.DUMMYFUNCTION("GOOGLETRANSLATE(A3409, ""en"", ""fr"")"),"Dangers")</f>
        <v>Dangers</v>
      </c>
      <c r="D3409" s="1" t="s">
        <v>4963</v>
      </c>
    </row>
    <row r="3410" spans="1:132" ht="14.25" customHeight="1" x14ac:dyDescent="0.3">
      <c r="A3410" s="1" t="s">
        <v>3551</v>
      </c>
      <c r="B3410" s="1" t="str">
        <f ca="1">IFERROR(__xludf.DUMMYFUNCTION("GOOGLETRANSLATE(A3410, ""en"", ""fr"")"),"période certaine")</f>
        <v>période certaine</v>
      </c>
      <c r="M3410" s="1" t="s">
        <v>10</v>
      </c>
    </row>
    <row r="3411" spans="1:132" ht="14.25" customHeight="1" x14ac:dyDescent="0.3">
      <c r="A3411" s="1" t="s">
        <v>3552</v>
      </c>
      <c r="B3411" s="1" t="str">
        <f ca="1">IFERROR(__xludf.DUMMYFUNCTION("GOOGLETRANSLATE(A3411, ""en"", ""fr"")"),"dépenses d'époque")</f>
        <v>dépenses d'époque</v>
      </c>
      <c r="CR3411" s="1" t="s">
        <v>93</v>
      </c>
    </row>
    <row r="3412" spans="1:132" ht="14.25" customHeight="1" x14ac:dyDescent="0.3">
      <c r="A3412" s="1" t="s">
        <v>3553</v>
      </c>
      <c r="B3412" s="1" t="str">
        <f ca="1">IFERROR(__xludf.DUMMYFUNCTION("GOOGLETRANSLATE(A3412, ""en"", ""fr"")"),"périodicité")</f>
        <v>périodicité</v>
      </c>
      <c r="CR3412" s="1" t="s">
        <v>93</v>
      </c>
    </row>
    <row r="3413" spans="1:132" ht="14.25" customHeight="1" x14ac:dyDescent="0.3">
      <c r="A3413" s="1" t="s">
        <v>3554</v>
      </c>
      <c r="B3413" s="1" t="str">
        <f ca="1">IFERROR(__xludf.DUMMYFUNCTION("GOOGLETRANSLATE(A3413, ""en"", ""fr"")"),"périodes")</f>
        <v>périodes</v>
      </c>
      <c r="CR3413" s="1" t="s">
        <v>93</v>
      </c>
    </row>
    <row r="3414" spans="1:132" ht="14.25" customHeight="1" x14ac:dyDescent="0.3">
      <c r="A3414" s="1" t="s">
        <v>3555</v>
      </c>
      <c r="B3414" s="1" t="str">
        <f ca="1">IFERROR(__xludf.DUMMYFUNCTION("GOOGLETRANSLATE(A3414, ""en"", ""fr"")"),"PARJURE")</f>
        <v>PARJURE</v>
      </c>
      <c r="D3414" s="1" t="s">
        <v>4963</v>
      </c>
    </row>
    <row r="3415" spans="1:132" ht="14.25" customHeight="1" x14ac:dyDescent="0.3">
      <c r="A3415" s="1" t="s">
        <v>3556</v>
      </c>
      <c r="B3415" s="1" t="str">
        <f ca="1">IFERROR(__xludf.DUMMYFUNCTION("GOOGLETRANSLATE(A3415, ""en"", ""fr"")"),"raffinerie de Pernis")</f>
        <v>raffinerie de Pernis</v>
      </c>
      <c r="N3415" s="1" t="s">
        <v>11</v>
      </c>
      <c r="BF3415" s="1" t="s">
        <v>55</v>
      </c>
      <c r="DU3415" s="1" t="s">
        <v>122</v>
      </c>
      <c r="EB3415" s="1" t="s">
        <v>129</v>
      </c>
    </row>
    <row r="3416" spans="1:132" ht="14.25" customHeight="1" x14ac:dyDescent="0.3">
      <c r="A3416" s="1" t="s">
        <v>3557</v>
      </c>
      <c r="B3416" s="1" t="str">
        <f ca="1">IFERROR(__xludf.DUMMYFUNCTION("GOOGLETRANSLATE(A3416, ""en"", ""fr"")"),"PERPÉTRER")</f>
        <v>PERPÉTRER</v>
      </c>
      <c r="D3416" s="1" t="s">
        <v>4963</v>
      </c>
    </row>
    <row r="3417" spans="1:132" ht="14.25" customHeight="1" x14ac:dyDescent="0.3">
      <c r="A3417" s="1" t="s">
        <v>3558</v>
      </c>
      <c r="B3417" s="1" t="str">
        <f ca="1">IFERROR(__xludf.DUMMYFUNCTION("GOOGLETRANSLATE(A3417, ""en"", ""fr"")"),"Perpétré")</f>
        <v>Perpétré</v>
      </c>
      <c r="D3417" s="1" t="s">
        <v>4963</v>
      </c>
    </row>
    <row r="3418" spans="1:132" ht="14.25" customHeight="1" x14ac:dyDescent="0.3">
      <c r="A3418" s="1" t="s">
        <v>3559</v>
      </c>
      <c r="B3418" s="1" t="str">
        <f ca="1">IFERROR(__xludf.DUMMYFUNCTION("GOOGLETRANSLATE(A3418, ""en"", ""fr"")"),"Percent")</f>
        <v>Percent</v>
      </c>
      <c r="D3418" s="1" t="s">
        <v>4963</v>
      </c>
    </row>
    <row r="3419" spans="1:132" ht="14.25" customHeight="1" x14ac:dyDescent="0.3">
      <c r="A3419" s="1" t="s">
        <v>3560</v>
      </c>
      <c r="B3419" s="1" t="str">
        <f ca="1">IFERROR(__xludf.DUMMYFUNCTION("GOOGLETRANSLATE(A3419, ""en"", ""fr"")"),"Perpétration")</f>
        <v>Perpétration</v>
      </c>
      <c r="D3419" s="1" t="s">
        <v>4963</v>
      </c>
    </row>
    <row r="3420" spans="1:132" ht="14.25" customHeight="1" x14ac:dyDescent="0.3">
      <c r="A3420" s="1" t="s">
        <v>3561</v>
      </c>
      <c r="B3420" s="1" t="str">
        <f ca="1">IFERROR(__xludf.DUMMYFUNCTION("GOOGLETRANSLATE(A3420, ""en"", ""fr"")"),"PERPÉTRATION")</f>
        <v>PERPÉTRATION</v>
      </c>
      <c r="D3420" s="1" t="s">
        <v>4963</v>
      </c>
    </row>
    <row r="3421" spans="1:132" ht="14.25" customHeight="1" x14ac:dyDescent="0.3">
      <c r="A3421" s="1" t="s">
        <v>3562</v>
      </c>
      <c r="B3421" s="1" t="str">
        <f ca="1">IFERROR(__xludf.DUMMYFUNCTION("GOOGLETRANSLATE(A3421, ""en"", ""fr"")"),"PERSISTER")</f>
        <v>PERSISTER</v>
      </c>
      <c r="D3421" s="1" t="s">
        <v>4963</v>
      </c>
    </row>
    <row r="3422" spans="1:132" ht="14.25" customHeight="1" x14ac:dyDescent="0.3">
      <c r="A3422" s="1" t="s">
        <v>3563</v>
      </c>
      <c r="B3422" s="1" t="str">
        <f ca="1">IFERROR(__xludf.DUMMYFUNCTION("GOOGLETRANSLATE(A3422, ""en"", ""fr"")"),"Persisté")</f>
        <v>Persisté</v>
      </c>
      <c r="D3422" s="1" t="s">
        <v>4963</v>
      </c>
    </row>
    <row r="3423" spans="1:132" ht="14.25" customHeight="1" x14ac:dyDescent="0.3">
      <c r="A3423" s="1" t="s">
        <v>3564</v>
      </c>
      <c r="B3423" s="1" t="str">
        <f ca="1">IFERROR(__xludf.DUMMYFUNCTION("GOOGLETRANSLATE(A3423, ""en"", ""fr"")"),"PERSISTANCE")</f>
        <v>PERSISTANCE</v>
      </c>
      <c r="D3423" s="1" t="s">
        <v>4963</v>
      </c>
    </row>
    <row r="3424" spans="1:132" ht="14.25" customHeight="1" x14ac:dyDescent="0.3">
      <c r="A3424" s="1" t="s">
        <v>3565</v>
      </c>
      <c r="B3424" s="1" t="str">
        <f ca="1">IFERROR(__xludf.DUMMYFUNCTION("GOOGLETRANSLATE(A3424, ""en"", ""fr"")"),"PERSISTANT")</f>
        <v>PERSISTANT</v>
      </c>
      <c r="D3424" s="1" t="s">
        <v>4963</v>
      </c>
    </row>
    <row r="3425" spans="1:142" ht="14.25" customHeight="1" x14ac:dyDescent="0.3">
      <c r="A3425" s="1" t="s">
        <v>3566</v>
      </c>
      <c r="B3425" s="1" t="str">
        <f ca="1">IFERROR(__xludf.DUMMYFUNCTION("GOOGLETRANSLATE(A3425, ""en"", ""fr"")"),"CONSTAMMENT")</f>
        <v>CONSTAMMENT</v>
      </c>
      <c r="D3425" s="1" t="s">
        <v>4963</v>
      </c>
    </row>
    <row r="3426" spans="1:142" ht="14.25" customHeight="1" x14ac:dyDescent="0.3">
      <c r="A3426" s="1" t="s">
        <v>3567</v>
      </c>
      <c r="B3426" s="1" t="str">
        <f ca="1">IFERROR(__xludf.DUMMYFUNCTION("GOOGLETRANSLATE(A3426, ""en"", ""fr"")"),"Persistant")</f>
        <v>Persistant</v>
      </c>
      <c r="D3426" s="1" t="s">
        <v>4963</v>
      </c>
    </row>
    <row r="3427" spans="1:142" ht="14.25" customHeight="1" x14ac:dyDescent="0.3">
      <c r="A3427" s="1" t="s">
        <v>3568</v>
      </c>
      <c r="B3427" s="1" t="str">
        <f ca="1">IFERROR(__xludf.DUMMYFUNCTION("GOOGLETRANSLATE(A3427, ""en"", ""fr"")"),"Persister")</f>
        <v>Persister</v>
      </c>
      <c r="D3427" s="1" t="s">
        <v>4963</v>
      </c>
    </row>
    <row r="3428" spans="1:142" ht="14.25" customHeight="1" x14ac:dyDescent="0.3">
      <c r="A3428" s="1" t="s">
        <v>3569</v>
      </c>
      <c r="B3428" s="1" t="str">
        <f ca="1">IFERROR(__xludf.DUMMYFUNCTION("GOOGLETRANSLATE(A3428, ""en"", ""fr"")"),"dépenses de consommation personnelle")</f>
        <v>dépenses de consommation personnelle</v>
      </c>
      <c r="M3428" s="1" t="s">
        <v>10</v>
      </c>
    </row>
    <row r="3429" spans="1:142" ht="14.25" customHeight="1" x14ac:dyDescent="0.3">
      <c r="A3429" s="1" t="s">
        <v>3570</v>
      </c>
      <c r="B3429" s="1" t="str">
        <f ca="1">IFERROR(__xludf.DUMMYFUNCTION("GOOGLETRANSLATE(A3429, ""en"", ""fr"")"),"taux d'inflation personnel")</f>
        <v>taux d'inflation personnel</v>
      </c>
      <c r="M3429" s="1" t="s">
        <v>10</v>
      </c>
    </row>
    <row r="3430" spans="1:142" ht="14.25" customHeight="1" x14ac:dyDescent="0.3">
      <c r="A3430" s="1" t="s">
        <v>3571</v>
      </c>
      <c r="B3430" s="1" t="str">
        <f ca="1">IFERROR(__xludf.DUMMYFUNCTION("GOOGLETRANSLATE(A3430, ""en"", ""fr"")"),"pertamina")</f>
        <v>pertamina</v>
      </c>
      <c r="I3430" s="1" t="s">
        <v>6</v>
      </c>
      <c r="DN3430" s="1" t="s">
        <v>115</v>
      </c>
      <c r="DT3430" s="1" t="s">
        <v>121</v>
      </c>
    </row>
    <row r="3431" spans="1:142" ht="14.25" customHeight="1" x14ac:dyDescent="0.3">
      <c r="A3431" s="1" t="s">
        <v>3572</v>
      </c>
      <c r="B3431" s="1" t="str">
        <f ca="1">IFERROR(__xludf.DUMMYFUNCTION("GOOGLETRANSLATE(A3431, ""en"", ""fr"")"),"ENVAHISSANT")</f>
        <v>ENVAHISSANT</v>
      </c>
      <c r="D3431" s="1" t="s">
        <v>4963</v>
      </c>
    </row>
    <row r="3432" spans="1:142" ht="14.25" customHeight="1" x14ac:dyDescent="0.3">
      <c r="A3432" s="1" t="s">
        <v>3573</v>
      </c>
      <c r="B3432" s="1" t="str">
        <f ca="1">IFERROR(__xludf.DUMMYFUNCTION("GOOGLETRANSLATE(A3432, ""en"", ""fr"")"),"Omniprésent")</f>
        <v>Omniprésent</v>
      </c>
      <c r="D3432" s="1" t="s">
        <v>4963</v>
      </c>
    </row>
    <row r="3433" spans="1:142" ht="14.25" customHeight="1" x14ac:dyDescent="0.3">
      <c r="A3433" s="1" t="s">
        <v>3574</v>
      </c>
      <c r="B3433" s="1" t="str">
        <f ca="1">IFERROR(__xludf.DUMMYFUNCTION("GOOGLETRANSLATE(A3433, ""en"", ""fr"")"),"Omniprésence")</f>
        <v>Omniprésence</v>
      </c>
      <c r="D3433" s="1" t="s">
        <v>4963</v>
      </c>
    </row>
    <row r="3434" spans="1:142" ht="14.25" customHeight="1" x14ac:dyDescent="0.3">
      <c r="A3434" s="1" t="s">
        <v>3575</v>
      </c>
      <c r="B3434" s="1" t="str">
        <f ca="1">IFERROR(__xludf.DUMMYFUNCTION("GOOGLETRANSLATE(A3434, ""en"", ""fr"")"),"Petr? Leos de Venezuela")</f>
        <v>Petr? Leos de Venezuela</v>
      </c>
      <c r="CL3434" s="1" t="s">
        <v>87</v>
      </c>
      <c r="DA3434" s="1" t="s">
        <v>102</v>
      </c>
      <c r="DT3434" s="1" t="s">
        <v>121</v>
      </c>
      <c r="DY3434" s="1" t="s">
        <v>126</v>
      </c>
    </row>
    <row r="3435" spans="1:142" ht="14.25" customHeight="1" x14ac:dyDescent="0.3">
      <c r="A3435" s="1" t="s">
        <v>3576</v>
      </c>
      <c r="B3435" s="1" t="str">
        <f ca="1">IFERROR(__xludf.DUMMYFUNCTION("GOOGLETRANSLATE(A3435, ""en"", ""fr"")"),"pastrobras")</f>
        <v>pastrobras</v>
      </c>
      <c r="X3435" s="1" t="s">
        <v>21</v>
      </c>
      <c r="CZ3435" s="1" t="s">
        <v>101</v>
      </c>
      <c r="DT3435" s="1" t="s">
        <v>121</v>
      </c>
      <c r="DX3435" s="1" t="s">
        <v>125</v>
      </c>
    </row>
    <row r="3436" spans="1:142" ht="14.25" customHeight="1" x14ac:dyDescent="0.3">
      <c r="A3436" s="1" t="s">
        <v>3577</v>
      </c>
      <c r="B3436" s="1" t="str">
        <f ca="1">IFERROR(__xludf.DUMMYFUNCTION("GOOGLETRANSLATE(A3436, ""en"", ""fr"")"),"pétrochine")</f>
        <v>pétrochine</v>
      </c>
      <c r="DT3436" s="1" t="s">
        <v>121</v>
      </c>
    </row>
    <row r="3437" spans="1:142" ht="14.25" customHeight="1" x14ac:dyDescent="0.3">
      <c r="A3437" s="1" t="s">
        <v>3578</v>
      </c>
      <c r="B3437" s="1" t="str">
        <f ca="1">IFERROR(__xludf.DUMMYFUNCTION("GOOGLETRANSLATE(A3437, ""en"", ""fr"")"),"pétrole")</f>
        <v>pétrole</v>
      </c>
      <c r="M3437" s="1" t="s">
        <v>10</v>
      </c>
      <c r="R3437" s="1" t="s">
        <v>15</v>
      </c>
    </row>
    <row r="3438" spans="1:142" ht="14.25" customHeight="1" x14ac:dyDescent="0.3">
      <c r="A3438" s="1" t="s">
        <v>3579</v>
      </c>
      <c r="B3438" s="1" t="str">
        <f ca="1">IFERROR(__xludf.DUMMYFUNCTION("GOOGLETRANSLATE(A3438, ""en"", ""fr"")"),"Coke de pétrole")</f>
        <v>Coke de pétrole</v>
      </c>
      <c r="EL3438" s="1" t="s">
        <v>139</v>
      </c>
    </row>
    <row r="3439" spans="1:142" ht="14.25" customHeight="1" x14ac:dyDescent="0.3">
      <c r="A3439" s="1" t="s">
        <v>3580</v>
      </c>
      <c r="B3439" s="1" t="str">
        <f ca="1">IFERROR(__xludf.DUMMYFUNCTION("GOOGLETRANSLATE(A3439, ""en"", ""fr"")"),"Liquides de pétrole")</f>
        <v>Liquides de pétrole</v>
      </c>
      <c r="EL3439" s="1" t="s">
        <v>139</v>
      </c>
    </row>
    <row r="3440" spans="1:142" ht="14.25" customHeight="1" x14ac:dyDescent="0.3">
      <c r="A3440" s="1" t="s">
        <v>3581</v>
      </c>
      <c r="B3440" s="1" t="str">
        <f ca="1">IFERROR(__xludf.DUMMYFUNCTION("GOOGLETRANSLATE(A3440, ""en"", ""fr"")"),"Jeu de pétrole")</f>
        <v>Jeu de pétrole</v>
      </c>
      <c r="E3440" s="1" t="s">
        <v>3</v>
      </c>
    </row>
    <row r="3441" spans="1:108" ht="14.25" customHeight="1" x14ac:dyDescent="0.3">
      <c r="A3441" s="1" t="s">
        <v>3582</v>
      </c>
      <c r="B3441" s="1" t="str">
        <f ca="1">IFERROR(__xludf.DUMMYFUNCTION("GOOGLETRANSLATE(A3441, ""en"", ""fr"")"),"Petrozuata lourd")</f>
        <v>Petrozuata lourd</v>
      </c>
      <c r="R3441" s="1" t="s">
        <v>15</v>
      </c>
      <c r="CS3441" s="1" t="s">
        <v>94</v>
      </c>
    </row>
    <row r="3442" spans="1:108" ht="14.25" customHeight="1" x14ac:dyDescent="0.3">
      <c r="A3442" s="1" t="s">
        <v>3583</v>
      </c>
      <c r="B3442" s="1" t="str">
        <f ca="1">IFERROR(__xludf.DUMMYFUNCTION("GOOGLETRANSLATE(A3442, ""en"", ""fr"")"),"PETIT")</f>
        <v>PETIT</v>
      </c>
      <c r="D3442" s="1" t="s">
        <v>4963</v>
      </c>
    </row>
    <row r="3443" spans="1:108" ht="14.25" customHeight="1" x14ac:dyDescent="0.3">
      <c r="A3443" s="1" t="s">
        <v>3584</v>
      </c>
      <c r="B3443" s="1" t="str">
        <f ca="1">IFERROR(__xludf.DUMMYFUNCTION("GOOGLETRANSLATE(A3443, ""en"", ""fr"")"),"Courbe de Phillips")</f>
        <v>Courbe de Phillips</v>
      </c>
      <c r="M3443" s="1" t="s">
        <v>10</v>
      </c>
    </row>
    <row r="3444" spans="1:108" ht="14.25" customHeight="1" x14ac:dyDescent="0.3">
      <c r="A3444" s="1" t="s">
        <v>3585</v>
      </c>
      <c r="B3444" s="1" t="str">
        <f ca="1">IFERROR(__xludf.DUMMYFUNCTION("GOOGLETRANSLATE(A3444, ""en"", ""fr"")"),"PIQUET")</f>
        <v>PIQUET</v>
      </c>
      <c r="D3444" s="1" t="s">
        <v>4963</v>
      </c>
    </row>
    <row r="3445" spans="1:108" ht="14.25" customHeight="1" x14ac:dyDescent="0.3">
      <c r="A3445" s="1" t="s">
        <v>3586</v>
      </c>
      <c r="B3445" s="1" t="str">
        <f ca="1">IFERROR(__xludf.DUMMYFUNCTION("GOOGLETRANSLATE(A3445, ""en"", ""fr"")"),"Piqueté")</f>
        <v>Piqueté</v>
      </c>
      <c r="D3445" s="1" t="s">
        <v>4963</v>
      </c>
    </row>
    <row r="3446" spans="1:108" ht="14.25" customHeight="1" x14ac:dyDescent="0.3">
      <c r="A3446" s="1" t="s">
        <v>3587</v>
      </c>
      <c r="B3446" s="1" t="str">
        <f ca="1">IFERROR(__xludf.DUMMYFUNCTION("GOOGLETRANSLATE(A3446, ""en"", ""fr"")"),"PIQUETS DE GRÈVE")</f>
        <v>PIQUETS DE GRÈVE</v>
      </c>
      <c r="D3446" s="1" t="s">
        <v>4963</v>
      </c>
    </row>
    <row r="3447" spans="1:108" ht="14.25" customHeight="1" x14ac:dyDescent="0.3">
      <c r="A3447" s="1" t="s">
        <v>3588</v>
      </c>
      <c r="B3447" s="1" t="str">
        <f ca="1">IFERROR(__xludf.DUMMYFUNCTION("GOOGLETRANSLATE(A3447, ""en"", ""fr"")"),"transpercer")</f>
        <v>transpercer</v>
      </c>
      <c r="R3447" s="1" t="s">
        <v>15</v>
      </c>
      <c r="CS3447" s="1" t="s">
        <v>94</v>
      </c>
    </row>
    <row r="3448" spans="1:108" ht="14.25" customHeight="1" x14ac:dyDescent="0.3">
      <c r="A3448" s="1" t="s">
        <v>3589</v>
      </c>
      <c r="B3448" s="1" t="str">
        <f ca="1">IFERROR(__xludf.DUMMYFUNCTION("GOOGLETRANSLATE(A3448, ""en"", ""fr"")"),"Cochon")</f>
        <v>Cochon</v>
      </c>
      <c r="E3448" s="1" t="s">
        <v>3</v>
      </c>
    </row>
    <row r="3449" spans="1:108" ht="14.25" customHeight="1" x14ac:dyDescent="0.3">
      <c r="A3449" s="1" t="s">
        <v>3590</v>
      </c>
      <c r="B3449" s="1" t="str">
        <f ca="1">IFERROR(__xludf.DUMMYFUNCTION("GOOGLETRANSLATE(A3449, ""en"", ""fr"")"),"Empilage")</f>
        <v>Empilage</v>
      </c>
      <c r="E3449" s="1" t="s">
        <v>3</v>
      </c>
    </row>
    <row r="3450" spans="1:108" ht="14.25" customHeight="1" x14ac:dyDescent="0.3">
      <c r="A3450" s="1" t="s">
        <v>3591</v>
      </c>
      <c r="B3450" s="1" t="str">
        <f ca="1">IFERROR(__xludf.DUMMYFUNCTION("GOOGLETRANSLATE(A3450, ""en"", ""fr"")"),"piiltun-ysokhskoye")</f>
        <v>piiltun-ysokhskoye</v>
      </c>
      <c r="AK3450" s="1" t="s">
        <v>34</v>
      </c>
      <c r="BH3450" s="1" t="s">
        <v>57</v>
      </c>
      <c r="BW3450" s="1" t="s">
        <v>72</v>
      </c>
      <c r="DD3450" s="1" t="s">
        <v>105</v>
      </c>
    </row>
    <row r="3451" spans="1:108" ht="14.25" customHeight="1" x14ac:dyDescent="0.3">
      <c r="A3451" s="1" t="s">
        <v>3592</v>
      </c>
      <c r="B3451" s="1" t="str">
        <f ca="1">IFERROR(__xludf.DUMMYFUNCTION("GOOGLETRANSLATE(A3451, ""en"", ""fr"")"),"Pipeline")</f>
        <v>Pipeline</v>
      </c>
      <c r="E3451" s="1" t="s">
        <v>3</v>
      </c>
    </row>
    <row r="3452" spans="1:108" ht="14.25" customHeight="1" x14ac:dyDescent="0.3">
      <c r="A3452" s="1" t="s">
        <v>3593</v>
      </c>
      <c r="B3452" s="1" t="str">
        <f ca="1">IFERROR(__xludf.DUMMYFUNCTION("GOOGLETRANSLATE(A3452, ""en"", ""fr"")"),"Noyau de piston")</f>
        <v>Noyau de piston</v>
      </c>
      <c r="E3452" s="1" t="s">
        <v>3</v>
      </c>
    </row>
    <row r="3453" spans="1:108" ht="14.25" customHeight="1" x14ac:dyDescent="0.3">
      <c r="A3453" s="1" t="s">
        <v>3594</v>
      </c>
      <c r="B3453" s="1" t="str">
        <f ca="1">IFERROR(__xludf.DUMMYFUNCTION("GOOGLETRANSLATE(A3453, ""en"", ""fr"")"),"DEMANDEUR")</f>
        <v>DEMANDEUR</v>
      </c>
      <c r="D3453" s="1" t="s">
        <v>4963</v>
      </c>
    </row>
    <row r="3454" spans="1:108" ht="14.25" customHeight="1" x14ac:dyDescent="0.3">
      <c r="A3454" s="1" t="s">
        <v>3595</v>
      </c>
      <c r="B3454" s="1" t="str">
        <f ca="1">IFERROR(__xludf.DUMMYFUNCTION("GOOGLETRANSLATE(A3454, ""en"", ""fr"")"),"Demandeurs")</f>
        <v>Demandeurs</v>
      </c>
      <c r="D3454" s="1" t="s">
        <v>4963</v>
      </c>
    </row>
    <row r="3455" spans="1:108" ht="14.25" customHeight="1" x14ac:dyDescent="0.3">
      <c r="A3455" s="1" t="s">
        <v>3596</v>
      </c>
      <c r="B3455" s="1" t="str">
        <f ca="1">IFERROR(__xludf.DUMMYFUNCTION("GOOGLETRANSLATE(A3455, ""en"", ""fr"")"),"période de planification")</f>
        <v>période de planification</v>
      </c>
      <c r="CR3455" s="1" t="s">
        <v>93</v>
      </c>
    </row>
    <row r="3456" spans="1:108" ht="14.25" customHeight="1" x14ac:dyDescent="0.3">
      <c r="A3456" s="1" t="s">
        <v>3597</v>
      </c>
      <c r="B3456" s="1" t="str">
        <f ca="1">IFERROR(__xludf.DUMMYFUNCTION("GOOGLETRANSLATE(A3456, ""en"", ""fr"")"),"économie planifiée")</f>
        <v>économie planifiée</v>
      </c>
      <c r="M3456" s="1" t="s">
        <v>10</v>
      </c>
    </row>
    <row r="3457" spans="1:13" ht="14.25" customHeight="1" x14ac:dyDescent="0.3">
      <c r="A3457" s="1" t="s">
        <v>3598</v>
      </c>
      <c r="B3457" s="1" t="str">
        <f ca="1">IFERROR(__xludf.DUMMYFUNCTION("GOOGLETRANSLATE(A3457, ""en"", ""fr"")"),"Plateau")</f>
        <v>Plateau</v>
      </c>
      <c r="E3457" s="1" t="s">
        <v>3</v>
      </c>
    </row>
    <row r="3458" spans="1:13" ht="14.25" customHeight="1" x14ac:dyDescent="0.3">
      <c r="A3458" s="1" t="s">
        <v>3599</v>
      </c>
      <c r="B3458" s="1" t="str">
        <f ca="1">IFERROR(__xludf.DUMMYFUNCTION("GOOGLETRANSLATE(A3458, ""en"", ""fr"")"),"Plate-forme")</f>
        <v>Plate-forme</v>
      </c>
      <c r="E3458" s="1" t="s">
        <v>3</v>
      </c>
    </row>
    <row r="3459" spans="1:13" ht="14.25" customHeight="1" x14ac:dyDescent="0.3">
      <c r="A3459" s="1" t="s">
        <v>3600</v>
      </c>
      <c r="B3459" s="1" t="str">
        <f ca="1">IFERROR(__xludf.DUMMYFUNCTION("GOOGLETRANSLATE(A3459, ""en"", ""fr"")"),"Nomenclature de plate-forme")</f>
        <v>Nomenclature de plate-forme</v>
      </c>
      <c r="E3459" s="1" t="s">
        <v>3</v>
      </c>
    </row>
    <row r="3460" spans="1:13" ht="14.25" customHeight="1" x14ac:dyDescent="0.3">
      <c r="A3460" s="1" t="s">
        <v>3601</v>
      </c>
      <c r="B3460" s="1" t="str">
        <f ca="1">IFERROR(__xludf.DUMMYFUNCTION("GOOGLETRANSLATE(A3460, ""en"", ""fr"")"),"Accord Plaza")</f>
        <v>Accord Plaza</v>
      </c>
      <c r="M3460" s="1" t="s">
        <v>10</v>
      </c>
    </row>
    <row r="3461" spans="1:13" ht="14.25" customHeight="1" x14ac:dyDescent="0.3">
      <c r="A3461" s="1" t="s">
        <v>3602</v>
      </c>
      <c r="B3461" s="1" t="str">
        <f ca="1">IFERROR(__xludf.DUMMYFUNCTION("GOOGLETRANSLATE(A3461, ""en"", ""fr"")"),"PLAIDOYER")</f>
        <v>PLAIDOYER</v>
      </c>
      <c r="D3461" s="1" t="s">
        <v>4963</v>
      </c>
    </row>
    <row r="3462" spans="1:13" ht="14.25" customHeight="1" x14ac:dyDescent="0.3">
      <c r="A3462" s="1" t="s">
        <v>3603</v>
      </c>
      <c r="B3462" s="1" t="str">
        <f ca="1">IFERROR(__xludf.DUMMYFUNCTION("GOOGLETRANSLATE(A3462, ""en"", ""fr"")"),"PLAIDER")</f>
        <v>PLAIDER</v>
      </c>
      <c r="D3462" s="1" t="s">
        <v>4963</v>
      </c>
    </row>
    <row r="3463" spans="1:13" ht="14.25" customHeight="1" x14ac:dyDescent="0.3">
      <c r="A3463" s="1" t="s">
        <v>3604</v>
      </c>
      <c r="B3463" s="1" t="str">
        <f ca="1">IFERROR(__xludf.DUMMYFUNCTION("GOOGLETRANSLATE(A3463, ""en"", ""fr"")"),"Plaidé")</f>
        <v>Plaidé</v>
      </c>
      <c r="D3463" s="1" t="s">
        <v>4963</v>
      </c>
    </row>
    <row r="3464" spans="1:13" ht="14.25" customHeight="1" x14ac:dyDescent="0.3">
      <c r="A3464" s="1" t="s">
        <v>3605</v>
      </c>
      <c r="B3464" s="1" t="str">
        <f ca="1">IFERROR(__xludf.DUMMYFUNCTION("GOOGLETRANSLATE(A3464, ""en"", ""fr"")"),"PLAIDOIRIE")</f>
        <v>PLAIDOIRIE</v>
      </c>
      <c r="D3464" s="1" t="s">
        <v>4963</v>
      </c>
    </row>
    <row r="3465" spans="1:13" ht="14.25" customHeight="1" x14ac:dyDescent="0.3">
      <c r="A3465" s="1" t="s">
        <v>3606</v>
      </c>
      <c r="B3465" s="1" t="str">
        <f ca="1">IFERROR(__xludf.DUMMYFUNCTION("GOOGLETRANSLATE(A3465, ""en"", ""fr"")"),"Actes de procédure")</f>
        <v>Actes de procédure</v>
      </c>
      <c r="D3465" s="1" t="s">
        <v>4963</v>
      </c>
    </row>
    <row r="3466" spans="1:13" ht="14.25" customHeight="1" x14ac:dyDescent="0.3">
      <c r="A3466" s="1" t="s">
        <v>3607</v>
      </c>
      <c r="B3466" s="1" t="str">
        <f ca="1">IFERROR(__xludf.DUMMYFUNCTION("GOOGLETRANSLATE(A3466, ""en"", ""fr"")"),"Plaidoirie")</f>
        <v>Plaidoirie</v>
      </c>
      <c r="D3466" s="1" t="s">
        <v>4963</v>
      </c>
    </row>
    <row r="3467" spans="1:13" ht="14.25" customHeight="1" x14ac:dyDescent="0.3">
      <c r="A3467" s="1" t="s">
        <v>3608</v>
      </c>
      <c r="B3467" s="1" t="str">
        <f ca="1">IFERROR(__xludf.DUMMYFUNCTION("GOOGLETRANSLATE(A3467, ""en"", ""fr"")"),"PLAIDOYERS")</f>
        <v>PLAIDOYERS</v>
      </c>
      <c r="D3467" s="1" t="s">
        <v>4963</v>
      </c>
    </row>
    <row r="3468" spans="1:13" ht="14.25" customHeight="1" x14ac:dyDescent="0.3">
      <c r="A3468" s="1" t="s">
        <v>3609</v>
      </c>
      <c r="B3468" s="1" t="str">
        <f ca="1">IFERROR(__xludf.DUMMYFUNCTION("GOOGLETRANSLATE(A3468, ""en"", ""fr"")"),"AGRÉABLE")</f>
        <v>AGRÉABLE</v>
      </c>
      <c r="H3468" s="1" t="s">
        <v>4964</v>
      </c>
    </row>
    <row r="3469" spans="1:13" ht="14.25" customHeight="1" x14ac:dyDescent="0.3">
      <c r="A3469" s="1" t="s">
        <v>3610</v>
      </c>
      <c r="B3469" s="1" t="str">
        <f ca="1">IFERROR(__xludf.DUMMYFUNCTION("GOOGLETRANSLATE(A3469, ""en"", ""fr"")"),"AGRÉABLEMENT")</f>
        <v>AGRÉABLEMENT</v>
      </c>
      <c r="H3469" s="1" t="s">
        <v>4964</v>
      </c>
    </row>
    <row r="3470" spans="1:13" ht="14.25" customHeight="1" x14ac:dyDescent="0.3">
      <c r="A3470" s="1" t="s">
        <v>3611</v>
      </c>
      <c r="B3470" s="1" t="str">
        <f ca="1">IFERROR(__xludf.DUMMYFUNCTION("GOOGLETRANSLATE(A3470, ""en"", ""fr"")"),"HEUREUX")</f>
        <v>HEUREUX</v>
      </c>
      <c r="H3470" s="1" t="s">
        <v>4964</v>
      </c>
    </row>
    <row r="3471" spans="1:13" ht="14.25" customHeight="1" x14ac:dyDescent="0.3">
      <c r="A3471" s="1" t="s">
        <v>3612</v>
      </c>
      <c r="B3471" s="1" t="str">
        <f ca="1">IFERROR(__xludf.DUMMYFUNCTION("GOOGLETRANSLATE(A3471, ""en"", ""fr"")"),"PLAISIR")</f>
        <v>PLAISIR</v>
      </c>
      <c r="H3471" s="1" t="s">
        <v>4964</v>
      </c>
    </row>
    <row r="3472" spans="1:13" ht="14.25" customHeight="1" x14ac:dyDescent="0.3">
      <c r="A3472" s="1" t="s">
        <v>3613</v>
      </c>
      <c r="B3472" s="1" t="str">
        <f ca="1">IFERROR(__xludf.DUMMYFUNCTION("GOOGLETRANSLATE(A3472, ""en"", ""fr"")"),"Plaidé")</f>
        <v>Plaidé</v>
      </c>
      <c r="D3472" s="1" t="s">
        <v>4963</v>
      </c>
    </row>
    <row r="3473" spans="1:132" ht="14.25" customHeight="1" x14ac:dyDescent="0.3">
      <c r="A3473" s="1" t="s">
        <v>3614</v>
      </c>
      <c r="B3473" s="1" t="str">
        <f ca="1">IFERROR(__xludf.DUMMYFUNCTION("GOOGLETRANSLATE(A3473, ""en"", ""fr"")"),"COPIEUX")</f>
        <v>COPIEUX</v>
      </c>
      <c r="H3473" s="1" t="s">
        <v>4964</v>
      </c>
    </row>
    <row r="3474" spans="1:132" ht="14.25" customHeight="1" x14ac:dyDescent="0.3">
      <c r="A3474" s="1" t="s">
        <v>3615</v>
      </c>
      <c r="B3474" s="1" t="str">
        <f ca="1">IFERROR(__xludf.DUMMYFUNCTION("GOOGLETRANSLATE(A3474, ""en"", ""fr"")"),"Bouché et abandonné")</f>
        <v>Bouché et abandonné</v>
      </c>
      <c r="AY3474" s="1" t="s">
        <v>48</v>
      </c>
    </row>
    <row r="3475" spans="1:132" ht="14.25" customHeight="1" x14ac:dyDescent="0.3">
      <c r="A3475" s="1" t="s">
        <v>3616</v>
      </c>
      <c r="B3475" s="1" t="str">
        <f ca="1">IFERROR(__xludf.DUMMYFUNCTION("GOOGLETRANSLATE(A3475, ""en"", ""fr"")"),"Bouchage")</f>
        <v>Bouchage</v>
      </c>
      <c r="AY3475" s="1" t="s">
        <v>48</v>
      </c>
    </row>
    <row r="3476" spans="1:132" ht="14.25" customHeight="1" x14ac:dyDescent="0.3">
      <c r="A3476" s="1" t="s">
        <v>3617</v>
      </c>
      <c r="B3476" s="1" t="str">
        <f ca="1">IFERROR(__xludf.DUMMYFUNCTION("GOOGLETRANSLATE(A3476, ""en"", ""fr"")"),"Plutonio")</f>
        <v>Plutonio</v>
      </c>
      <c r="R3476" s="1" t="s">
        <v>15</v>
      </c>
      <c r="CS3476" s="1" t="s">
        <v>94</v>
      </c>
    </row>
    <row r="3477" spans="1:132" ht="14.25" customHeight="1" x14ac:dyDescent="0.3">
      <c r="A3477" s="1" t="s">
        <v>3618</v>
      </c>
      <c r="B3477" s="1" t="str">
        <f ca="1">IFERROR(__xludf.DUMMYFUNCTION("GOOGLETRANSLATE(A3477, ""en"", ""fr"")"),"indiquer")</f>
        <v>indiquer</v>
      </c>
      <c r="CR3477" s="1" t="s">
        <v>93</v>
      </c>
    </row>
    <row r="3478" spans="1:132" ht="14.25" customHeight="1" x14ac:dyDescent="0.3">
      <c r="A3478" s="1" t="s">
        <v>3619</v>
      </c>
      <c r="B3478" s="1" t="str">
        <f ca="1">IFERROR(__xludf.DUMMYFUNCTION("GOOGLETRANSLATE(A3478, ""en"", ""fr"")"),"points")</f>
        <v>points</v>
      </c>
      <c r="CR3478" s="1" t="s">
        <v>93</v>
      </c>
    </row>
    <row r="3479" spans="1:132" ht="14.25" customHeight="1" x14ac:dyDescent="0.3">
      <c r="A3479" s="1" t="s">
        <v>3620</v>
      </c>
      <c r="B3479" s="1" t="str">
        <f ca="1">IFERROR(__xludf.DUMMYFUNCTION("GOOGLETRANSLATE(A3479, ""en"", ""fr"")"),"économie politique")</f>
        <v>économie politique</v>
      </c>
      <c r="M3479" s="1" t="s">
        <v>10</v>
      </c>
    </row>
    <row r="3480" spans="1:132" ht="14.25" customHeight="1" x14ac:dyDescent="0.3">
      <c r="A3480" s="1" t="s">
        <v>3621</v>
      </c>
      <c r="B3480" s="1" t="str">
        <f ca="1">IFERROR(__xludf.DUMMYFUNCTION("GOOGLETRANSLATE(A3480, ""en"", ""fr"")"),"PAUVRE")</f>
        <v>PAUVRE</v>
      </c>
      <c r="D3480" s="1" t="s">
        <v>4963</v>
      </c>
    </row>
    <row r="3481" spans="1:132" ht="14.25" customHeight="1" x14ac:dyDescent="0.3">
      <c r="A3481" s="1" t="s">
        <v>3622</v>
      </c>
      <c r="B3481" s="1" t="str">
        <f ca="1">IFERROR(__xludf.DUMMYFUNCTION("GOOGLETRANSLATE(A3481, ""en"", ""fr"")"),"PAUVREMENT")</f>
        <v>PAUVREMENT</v>
      </c>
      <c r="D3481" s="1" t="s">
        <v>4963</v>
      </c>
    </row>
    <row r="3482" spans="1:132" ht="14.25" customHeight="1" x14ac:dyDescent="0.3">
      <c r="A3482" s="1" t="s">
        <v>3623</v>
      </c>
      <c r="B3482" s="1" t="str">
        <f ca="1">IFERROR(__xludf.DUMMYFUNCTION("GOOGLETRANSLATE(A3482, ""en"", ""fr"")"),"POPULAIRE")</f>
        <v>POPULAIRE</v>
      </c>
      <c r="H3482" s="1" t="s">
        <v>4964</v>
      </c>
    </row>
    <row r="3483" spans="1:132" ht="14.25" customHeight="1" x14ac:dyDescent="0.3">
      <c r="A3483" s="1" t="s">
        <v>3624</v>
      </c>
      <c r="B3483" s="1" t="str">
        <f ca="1">IFERROR(__xludf.DUMMYFUNCTION("GOOGLETRANSLATE(A3483, ""en"", ""fr"")"),"POPULARITÉ")</f>
        <v>POPULARITÉ</v>
      </c>
      <c r="H3483" s="1" t="s">
        <v>4964</v>
      </c>
    </row>
    <row r="3484" spans="1:132" ht="14.25" customHeight="1" x14ac:dyDescent="0.3">
      <c r="A3484" s="1" t="s">
        <v>3625</v>
      </c>
      <c r="B3484" s="1" t="str">
        <f ca="1">IFERROR(__xludf.DUMMYFUNCTION("GOOGLETRANSLATE(A3484, ""en"", ""fr"")"),"population")</f>
        <v>population</v>
      </c>
      <c r="M3484" s="1" t="s">
        <v>10</v>
      </c>
    </row>
    <row r="3485" spans="1:132" ht="14.25" customHeight="1" x14ac:dyDescent="0.3">
      <c r="A3485" s="1" t="s">
        <v>3626</v>
      </c>
      <c r="B3485" s="1" t="str">
        <f ca="1">IFERROR(__xludf.DUMMYFUNCTION("GOOGLETRANSLATE(A3485, ""en"", ""fr"")"),"raffinerie de Port Arthur")</f>
        <v>raffinerie de Port Arthur</v>
      </c>
      <c r="N3485" s="1" t="s">
        <v>11</v>
      </c>
      <c r="BF3485" s="1" t="s">
        <v>55</v>
      </c>
      <c r="BI3485" s="1" t="s">
        <v>58</v>
      </c>
      <c r="EB3485" s="1" t="s">
        <v>129</v>
      </c>
    </row>
    <row r="3486" spans="1:132" ht="14.25" customHeight="1" x14ac:dyDescent="0.3">
      <c r="A3486" s="1" t="s">
        <v>3627</v>
      </c>
      <c r="B3486" s="1" t="str">
        <f ca="1">IFERROR(__xludf.DUMMYFUNCTION("GOOGLETRANSLATE(A3486, ""en"", ""fr"")"),"Port Hudson")</f>
        <v>Port Hudson</v>
      </c>
      <c r="R3486" s="1" t="s">
        <v>15</v>
      </c>
      <c r="CS3486" s="1" t="s">
        <v>94</v>
      </c>
    </row>
    <row r="3487" spans="1:132" ht="14.25" customHeight="1" x14ac:dyDescent="0.3">
      <c r="A3487" s="1" t="s">
        <v>3628</v>
      </c>
      <c r="B3487" s="1" t="str">
        <f ca="1">IFERROR(__xludf.DUMMYFUNCTION("GOOGLETRANSLATE(A3487, ""en"", ""fr"")"),"Poseidon Streams")</f>
        <v>Poseidon Streams</v>
      </c>
      <c r="R3487" s="1" t="s">
        <v>15</v>
      </c>
      <c r="CS3487" s="1" t="s">
        <v>94</v>
      </c>
    </row>
    <row r="3488" spans="1:132" ht="14.25" customHeight="1" x14ac:dyDescent="0.3">
      <c r="A3488" s="1" t="s">
        <v>3629</v>
      </c>
      <c r="B3488" s="1" t="str">
        <f ca="1">IFERROR(__xludf.DUMMYFUNCTION("GOOGLETRANSLATE(A3488, ""en"", ""fr"")"),"Poses")</f>
        <v>Poses</v>
      </c>
      <c r="D3488" s="1" t="s">
        <v>4963</v>
      </c>
    </row>
    <row r="3489" spans="1:96" ht="14.25" customHeight="1" x14ac:dyDescent="0.3">
      <c r="A3489" s="1" t="s">
        <v>3630</v>
      </c>
      <c r="B3489" s="1" t="str">
        <f ca="1">IFERROR(__xludf.DUMMYFUNCTION("GOOGLETRANSLATE(A3489, ""en"", ""fr"")"),"Pose")</f>
        <v>Pose</v>
      </c>
      <c r="D3489" s="1" t="s">
        <v>4963</v>
      </c>
    </row>
    <row r="3490" spans="1:96" ht="14.25" customHeight="1" x14ac:dyDescent="0.3">
      <c r="A3490" s="1" t="s">
        <v>3631</v>
      </c>
      <c r="B3490" s="1" t="str">
        <f ca="1">IFERROR(__xludf.DUMMYFUNCTION("GOOGLETRANSLATE(A3490, ""en"", ""fr"")"),"positionnement")</f>
        <v>positionnement</v>
      </c>
      <c r="M3490" s="1" t="s">
        <v>10</v>
      </c>
    </row>
    <row r="3491" spans="1:96" ht="14.25" customHeight="1" x14ac:dyDescent="0.3">
      <c r="A3491" s="1" t="s">
        <v>3632</v>
      </c>
      <c r="B3491" s="1" t="str">
        <f ca="1">IFERROR(__xludf.DUMMYFUNCTION("GOOGLETRANSLATE(A3491, ""en"", ""fr"")"),"POSITIF")</f>
        <v>POSITIF</v>
      </c>
      <c r="H3491" s="1" t="s">
        <v>4964</v>
      </c>
    </row>
    <row r="3492" spans="1:96" ht="14.25" customHeight="1" x14ac:dyDescent="0.3">
      <c r="A3492" s="1" t="s">
        <v>3633</v>
      </c>
      <c r="B3492" s="1" t="str">
        <f ca="1">IFERROR(__xludf.DUMMYFUNCTION("GOOGLETRANSLATE(A3492, ""en"", ""fr"")"),"POSITIVEMENT")</f>
        <v>POSITIVEMENT</v>
      </c>
      <c r="H3492" s="1" t="s">
        <v>4964</v>
      </c>
    </row>
    <row r="3493" spans="1:96" ht="14.25" customHeight="1" x14ac:dyDescent="0.3">
      <c r="A3493" s="1" t="s">
        <v>3634</v>
      </c>
      <c r="B3493" s="1" t="str">
        <f ca="1">IFERROR(__xludf.DUMMYFUNCTION("GOOGLETRANSLATE(A3493, ""en"", ""fr"")"),"REPORTER")</f>
        <v>REPORTER</v>
      </c>
      <c r="D3493" s="1" t="s">
        <v>4963</v>
      </c>
    </row>
    <row r="3494" spans="1:96" ht="14.25" customHeight="1" x14ac:dyDescent="0.3">
      <c r="A3494" s="1" t="s">
        <v>3635</v>
      </c>
      <c r="B3494" s="1" t="str">
        <f ca="1">IFERROR(__xludf.DUMMYFUNCTION("GOOGLETRANSLATE(A3494, ""en"", ""fr"")"),"REPORTÉ")</f>
        <v>REPORTÉ</v>
      </c>
      <c r="D3494" s="1" t="s">
        <v>4963</v>
      </c>
    </row>
    <row r="3495" spans="1:96" ht="14.25" customHeight="1" x14ac:dyDescent="0.3">
      <c r="A3495" s="1" t="s">
        <v>3636</v>
      </c>
      <c r="B3495" s="1" t="str">
        <f ca="1">IFERROR(__xludf.DUMMYFUNCTION("GOOGLETRANSLATE(A3495, ""en"", ""fr"")"),"REPORT")</f>
        <v>REPORT</v>
      </c>
      <c r="D3495" s="1" t="s">
        <v>4963</v>
      </c>
    </row>
    <row r="3496" spans="1:96" ht="14.25" customHeight="1" x14ac:dyDescent="0.3">
      <c r="A3496" s="1" t="s">
        <v>3637</v>
      </c>
      <c r="B3496" s="1" t="str">
        <f ca="1">IFERROR(__xludf.DUMMYFUNCTION("GOOGLETRANSLATE(A3496, ""en"", ""fr"")"),"Report")</f>
        <v>Report</v>
      </c>
      <c r="D3496" s="1" t="s">
        <v>4963</v>
      </c>
    </row>
    <row r="3497" spans="1:96" ht="14.25" customHeight="1" x14ac:dyDescent="0.3">
      <c r="A3497" s="1" t="s">
        <v>3638</v>
      </c>
      <c r="B3497" s="1" t="str">
        <f ca="1">IFERROR(__xludf.DUMMYFUNCTION("GOOGLETRANSLATE(A3497, ""en"", ""fr"")"),"Report")</f>
        <v>Report</v>
      </c>
      <c r="D3497" s="1" t="s">
        <v>4963</v>
      </c>
    </row>
    <row r="3498" spans="1:96" ht="14.25" customHeight="1" x14ac:dyDescent="0.3">
      <c r="A3498" s="1" t="s">
        <v>3639</v>
      </c>
      <c r="B3498" s="1" t="str">
        <f ca="1">IFERROR(__xludf.DUMMYFUNCTION("GOOGLETRANSLATE(A3498, ""en"", ""fr"")"),"Report")</f>
        <v>Report</v>
      </c>
      <c r="D3498" s="1" t="s">
        <v>4963</v>
      </c>
    </row>
    <row r="3499" spans="1:96" ht="14.25" customHeight="1" x14ac:dyDescent="0.3">
      <c r="A3499" s="1" t="s">
        <v>3640</v>
      </c>
      <c r="B3499" s="1" t="str">
        <f ca="1">IFERROR(__xludf.DUMMYFUNCTION("GOOGLETRANSLATE(A3499, ""en"", ""fr"")"),"Verser")</f>
        <v>Verser</v>
      </c>
      <c r="E3499" s="1" t="s">
        <v>3</v>
      </c>
    </row>
    <row r="3500" spans="1:96" ht="14.25" customHeight="1" x14ac:dyDescent="0.3">
      <c r="A3500" s="1" t="s">
        <v>3641</v>
      </c>
      <c r="B3500" s="1" t="str">
        <f ca="1">IFERROR(__xludf.DUMMYFUNCTION("GOOGLETRANSLATE(A3500, ""en"", ""fr"")"),"pp")</f>
        <v>pp</v>
      </c>
      <c r="J3500" s="1" t="s">
        <v>7</v>
      </c>
    </row>
    <row r="3501" spans="1:96" ht="14.25" customHeight="1" x14ac:dyDescent="0.3">
      <c r="A3501" s="1" t="s">
        <v>3642</v>
      </c>
      <c r="B3501" s="1" t="str">
        <f ca="1">IFERROR(__xludf.DUMMYFUNCTION("GOOGLETRANSLATE(A3501, ""en"", ""fr"")"),"PP&amp;E")</f>
        <v>PP&amp;E</v>
      </c>
      <c r="CR3501" s="1" t="s">
        <v>93</v>
      </c>
    </row>
    <row r="3502" spans="1:96" ht="14.25" customHeight="1" x14ac:dyDescent="0.3">
      <c r="A3502" s="1" t="s">
        <v>3643</v>
      </c>
      <c r="B3502" s="1" t="str">
        <f ca="1">IFERROR(__xludf.DUMMYFUNCTION("GOOGLETRANSLATE(A3502, ""en"", ""fr"")"),"IPP")</f>
        <v>IPP</v>
      </c>
      <c r="M3502" s="1" t="s">
        <v>10</v>
      </c>
    </row>
    <row r="3503" spans="1:96" ht="14.25" customHeight="1" x14ac:dyDescent="0.3">
      <c r="A3503" s="1" t="s">
        <v>3644</v>
      </c>
      <c r="B3503" s="1" t="str">
        <f ca="1">IFERROR(__xludf.DUMMYFUNCTION("GOOGLETRANSLATE(A3503, ""en"", ""fr"")"),"Précipité")</f>
        <v>Précipité</v>
      </c>
      <c r="D3503" s="1" t="s">
        <v>4963</v>
      </c>
    </row>
    <row r="3504" spans="1:96" ht="14.25" customHeight="1" x14ac:dyDescent="0.3">
      <c r="A3504" s="1" t="s">
        <v>3645</v>
      </c>
      <c r="B3504" s="1" t="str">
        <f ca="1">IFERROR(__xludf.DUMMYFUNCTION("GOOGLETRANSLATE(A3504, ""en"", ""fr"")"),"ABRUPT")</f>
        <v>ABRUPT</v>
      </c>
      <c r="D3504" s="1" t="s">
        <v>4963</v>
      </c>
    </row>
    <row r="3505" spans="1:8" ht="14.25" customHeight="1" x14ac:dyDescent="0.3">
      <c r="A3505" s="1" t="s">
        <v>3646</v>
      </c>
      <c r="B3505" s="1" t="str">
        <f ca="1">IFERROR(__xludf.DUMMYFUNCTION("GOOGLETRANSLATE(A3505, ""en"", ""fr"")"),"Précipitamment")</f>
        <v>Précipitamment</v>
      </c>
      <c r="D3505" s="1" t="s">
        <v>4963</v>
      </c>
    </row>
    <row r="3506" spans="1:8" ht="14.25" customHeight="1" x14ac:dyDescent="0.3">
      <c r="A3506" s="1" t="s">
        <v>3647</v>
      </c>
      <c r="B3506" s="1" t="str">
        <f ca="1">IFERROR(__xludf.DUMMYFUNCTION("GOOGLETRANSLATE(A3506, ""en"", ""fr"")"),"EMPÊCHER")</f>
        <v>EMPÊCHER</v>
      </c>
      <c r="D3506" s="1" t="s">
        <v>4963</v>
      </c>
    </row>
    <row r="3507" spans="1:8" ht="14.25" customHeight="1" x14ac:dyDescent="0.3">
      <c r="A3507" s="1" t="s">
        <v>3648</v>
      </c>
      <c r="B3507" s="1" t="str">
        <f ca="1">IFERROR(__xludf.DUMMYFUNCTION("GOOGLETRANSLATE(A3507, ""en"", ""fr"")"),"Empêché")</f>
        <v>Empêché</v>
      </c>
      <c r="D3507" s="1" t="s">
        <v>4963</v>
      </c>
    </row>
    <row r="3508" spans="1:8" ht="14.25" customHeight="1" x14ac:dyDescent="0.3">
      <c r="A3508" s="1" t="s">
        <v>3649</v>
      </c>
      <c r="B3508" s="1" t="str">
        <f ca="1">IFERROR(__xludf.DUMMYFUNCTION("GOOGLETRANSLATE(A3508, ""en"", ""fr"")"),"Excluait")</f>
        <v>Excluait</v>
      </c>
      <c r="D3508" s="1" t="s">
        <v>4963</v>
      </c>
    </row>
    <row r="3509" spans="1:8" ht="14.25" customHeight="1" x14ac:dyDescent="0.3">
      <c r="A3509" s="1" t="s">
        <v>3650</v>
      </c>
      <c r="B3509" s="1" t="str">
        <f ca="1">IFERROR(__xludf.DUMMYFUNCTION("GOOGLETRANSLATE(A3509, ""en"", ""fr"")"),"Excluant")</f>
        <v>Excluant</v>
      </c>
      <c r="D3509" s="1" t="s">
        <v>4963</v>
      </c>
    </row>
    <row r="3510" spans="1:8" ht="14.25" customHeight="1" x14ac:dyDescent="0.3">
      <c r="A3510" s="1" t="s">
        <v>3651</v>
      </c>
      <c r="B3510" s="1" t="str">
        <f ca="1">IFERROR(__xludf.DUMMYFUNCTION("GOOGLETRANSLATE(A3510, ""en"", ""fr"")"),"PRÉDATEUR")</f>
        <v>PRÉDATEUR</v>
      </c>
      <c r="D3510" s="1" t="s">
        <v>4963</v>
      </c>
    </row>
    <row r="3511" spans="1:8" ht="14.25" customHeight="1" x14ac:dyDescent="0.3">
      <c r="A3511" s="1" t="s">
        <v>3652</v>
      </c>
      <c r="B3511" s="1" t="str">
        <f ca="1">IFERROR(__xludf.DUMMYFUNCTION("GOOGLETRANSLATE(A3511, ""en"", ""fr"")"),"PRÉÉMINENCE")</f>
        <v>PRÉÉMINENCE</v>
      </c>
      <c r="H3511" s="1" t="s">
        <v>4964</v>
      </c>
    </row>
    <row r="3512" spans="1:8" ht="14.25" customHeight="1" x14ac:dyDescent="0.3">
      <c r="A3512" s="1" t="s">
        <v>3653</v>
      </c>
      <c r="B3512" s="1" t="str">
        <f ca="1">IFERROR(__xludf.DUMMYFUNCTION("GOOGLETRANSLATE(A3512, ""en"", ""fr"")"),"PRÉÉMINENT")</f>
        <v>PRÉÉMINENT</v>
      </c>
      <c r="H3512" s="1" t="s">
        <v>4964</v>
      </c>
    </row>
    <row r="3513" spans="1:8" ht="14.25" customHeight="1" x14ac:dyDescent="0.3">
      <c r="A3513" s="1" t="s">
        <v>3654</v>
      </c>
      <c r="B3513" s="1" t="str">
        <f ca="1">IFERROR(__xludf.DUMMYFUNCTION("GOOGLETRANSLATE(A3513, ""en"", ""fr"")"),"PRÉJUGÉ")</f>
        <v>PRÉJUGÉ</v>
      </c>
      <c r="D3513" s="1" t="s">
        <v>4963</v>
      </c>
    </row>
    <row r="3514" spans="1:8" ht="14.25" customHeight="1" x14ac:dyDescent="0.3">
      <c r="A3514" s="1" t="s">
        <v>3655</v>
      </c>
      <c r="B3514" s="1" t="str">
        <f ca="1">IFERROR(__xludf.DUMMYFUNCTION("GOOGLETRANSLATE(A3514, ""en"", ""fr"")"),"PARTIAL")</f>
        <v>PARTIAL</v>
      </c>
      <c r="D3514" s="1" t="s">
        <v>4963</v>
      </c>
    </row>
    <row r="3515" spans="1:8" ht="14.25" customHeight="1" x14ac:dyDescent="0.3">
      <c r="A3515" s="1" t="s">
        <v>3656</v>
      </c>
      <c r="B3515" s="1" t="str">
        <f ca="1">IFERROR(__xludf.DUMMYFUNCTION("GOOGLETRANSLATE(A3515, ""en"", ""fr"")"),"LES PRÉJUGÉS")</f>
        <v>LES PRÉJUGÉS</v>
      </c>
      <c r="D3515" s="1" t="s">
        <v>4963</v>
      </c>
    </row>
    <row r="3516" spans="1:8" ht="14.25" customHeight="1" x14ac:dyDescent="0.3">
      <c r="A3516" s="1" t="s">
        <v>3657</v>
      </c>
      <c r="B3516" s="1" t="str">
        <f ca="1">IFERROR(__xludf.DUMMYFUNCTION("GOOGLETRANSLATE(A3516, ""en"", ""fr"")"),"PRÉJUDICIABLE")</f>
        <v>PRÉJUDICIABLE</v>
      </c>
      <c r="D3516" s="1" t="s">
        <v>4963</v>
      </c>
    </row>
    <row r="3517" spans="1:8" ht="14.25" customHeight="1" x14ac:dyDescent="0.3">
      <c r="A3517" s="1" t="s">
        <v>3658</v>
      </c>
      <c r="B3517" s="1" t="str">
        <f ca="1">IFERROR(__xludf.DUMMYFUNCTION("GOOGLETRANSLATE(A3517, ""en"", ""fr"")"),"Préjudice")</f>
        <v>Préjudice</v>
      </c>
      <c r="D3517" s="1" t="s">
        <v>4963</v>
      </c>
    </row>
    <row r="3518" spans="1:8" ht="14.25" customHeight="1" x14ac:dyDescent="0.3">
      <c r="A3518" s="1" t="s">
        <v>3659</v>
      </c>
      <c r="B3518" s="1" t="str">
        <f ca="1">IFERROR(__xludf.DUMMYFUNCTION("GOOGLETRANSLATE(A3518, ""en"", ""fr"")"),"PRÉMATURÉ")</f>
        <v>PRÉMATURÉ</v>
      </c>
      <c r="D3518" s="1" t="s">
        <v>4963</v>
      </c>
    </row>
    <row r="3519" spans="1:8" ht="14.25" customHeight="1" x14ac:dyDescent="0.3">
      <c r="A3519" s="1" t="s">
        <v>3660</v>
      </c>
      <c r="B3519" s="1" t="str">
        <f ca="1">IFERROR(__xludf.DUMMYFUNCTION("GOOGLETRANSLATE(A3519, ""en"", ""fr"")"),"PRÉMATURÉMENT")</f>
        <v>PRÉMATURÉMENT</v>
      </c>
      <c r="D3519" s="1" t="s">
        <v>4963</v>
      </c>
    </row>
    <row r="3520" spans="1:8" ht="14.25" customHeight="1" x14ac:dyDescent="0.3">
      <c r="A3520" s="1" t="s">
        <v>3661</v>
      </c>
      <c r="B3520" s="1" t="str">
        <f ca="1">IFERROR(__xludf.DUMMYFUNCTION("GOOGLETRANSLATE(A3520, ""en"", ""fr"")"),"PREMIER")</f>
        <v>PREMIER</v>
      </c>
      <c r="H3520" s="1" t="s">
        <v>4964</v>
      </c>
    </row>
    <row r="3521" spans="1:97" ht="14.25" customHeight="1" x14ac:dyDescent="0.3">
      <c r="A3521" s="1" t="s">
        <v>3662</v>
      </c>
      <c r="B3521" s="1" t="str">
        <f ca="1">IFERROR(__xludf.DUMMYFUNCTION("GOOGLETRANSLATE(A3521, ""en"", ""fr"")"),"PREMIÈRE")</f>
        <v>PREMIÈRE</v>
      </c>
      <c r="H3521" s="1" t="s">
        <v>4964</v>
      </c>
    </row>
    <row r="3522" spans="1:97" ht="14.25" customHeight="1" x14ac:dyDescent="0.3">
      <c r="A3522" s="1" t="s">
        <v>3663</v>
      </c>
      <c r="B3522" s="1" t="str">
        <f ca="1">IFERROR(__xludf.DUMMYFUNCTION("GOOGLETRANSLATE(A3522, ""en"", ""fr"")"),"Albien premium")</f>
        <v>Albien premium</v>
      </c>
      <c r="R3522" s="1" t="s">
        <v>15</v>
      </c>
      <c r="CS3522" s="1" t="s">
        <v>94</v>
      </c>
    </row>
    <row r="3523" spans="1:97" ht="14.25" customHeight="1" x14ac:dyDescent="0.3">
      <c r="A3523" s="1" t="s">
        <v>3664</v>
      </c>
      <c r="B3523" s="1" t="str">
        <f ca="1">IFERROR(__xludf.DUMMYFUNCTION("GOOGLETRANSLATE(A3523, ""en"", ""fr"")"),"dépenses prépayées")</f>
        <v>dépenses prépayées</v>
      </c>
      <c r="CR3523" s="1" t="s">
        <v>93</v>
      </c>
    </row>
    <row r="3524" spans="1:97" ht="14.25" customHeight="1" x14ac:dyDescent="0.3">
      <c r="A3524" s="1" t="s">
        <v>3665</v>
      </c>
      <c r="B3524" s="1" t="str">
        <f ca="1">IFERROR(__xludf.DUMMYFUNCTION("GOOGLETRANSLATE(A3524, ""en"", ""fr"")"),"PRESSAGE")</f>
        <v>PRESSAGE</v>
      </c>
      <c r="D3524" s="1" t="s">
        <v>4963</v>
      </c>
    </row>
    <row r="3525" spans="1:97" ht="14.25" customHeight="1" x14ac:dyDescent="0.3">
      <c r="A3525" s="1" t="s">
        <v>3666</v>
      </c>
      <c r="B3525" s="1" t="str">
        <f ca="1">IFERROR(__xludf.DUMMYFUNCTION("GOOGLETRANSLATE(A3525, ""en"", ""fr"")"),"Échantillonneur de noyau de pression")</f>
        <v>Échantillonneur de noyau de pression</v>
      </c>
      <c r="E3525" s="1" t="s">
        <v>3</v>
      </c>
    </row>
    <row r="3526" spans="1:97" ht="14.25" customHeight="1" x14ac:dyDescent="0.3">
      <c r="A3526" s="1" t="s">
        <v>3667</v>
      </c>
      <c r="B3526" s="1" t="str">
        <f ca="1">IFERROR(__xludf.DUMMYFUNCTION("GOOGLETRANSLATE(A3526, ""en"", ""fr"")"),"PRESTIGE")</f>
        <v>PRESTIGE</v>
      </c>
      <c r="H3526" s="1" t="s">
        <v>4964</v>
      </c>
    </row>
    <row r="3527" spans="1:97" ht="14.25" customHeight="1" x14ac:dyDescent="0.3">
      <c r="A3527" s="1" t="s">
        <v>3668</v>
      </c>
      <c r="B3527" s="1" t="str">
        <f ca="1">IFERROR(__xludf.DUMMYFUNCTION("GOOGLETRANSLATE(A3527, ""en"", ""fr"")"),"PRESTIGIEUX")</f>
        <v>PRESTIGIEUX</v>
      </c>
      <c r="H3527" s="1" t="s">
        <v>4964</v>
      </c>
    </row>
    <row r="3528" spans="1:97" ht="14.25" customHeight="1" x14ac:dyDescent="0.3">
      <c r="A3528" s="1" t="s">
        <v>3669</v>
      </c>
      <c r="B3528" s="1" t="str">
        <f ca="1">IFERROR(__xludf.DUMMYFUNCTION("GOOGLETRANSLATE(A3528, ""en"", ""fr"")"),"Préliminaire")</f>
        <v>Préliminaire</v>
      </c>
      <c r="D3528" s="1" t="s">
        <v>4963</v>
      </c>
    </row>
    <row r="3529" spans="1:97" ht="14.25" customHeight="1" x14ac:dyDescent="0.3">
      <c r="A3529" s="1" t="s">
        <v>3670</v>
      </c>
      <c r="B3529" s="1" t="str">
        <f ca="1">IFERROR(__xludf.DUMMYFUNCTION("GOOGLETRANSLATE(A3529, ""en"", ""fr"")"),"Entretien préventif")</f>
        <v>Entretien préventif</v>
      </c>
      <c r="E3529" s="1" t="s">
        <v>3</v>
      </c>
    </row>
    <row r="3530" spans="1:97" ht="14.25" customHeight="1" x14ac:dyDescent="0.3">
      <c r="A3530" s="1" t="s">
        <v>3671</v>
      </c>
      <c r="B3530" s="1" t="str">
        <f ca="1">IFERROR(__xludf.DUMMYFUNCTION("GOOGLETRANSLATE(A3530, ""en"", ""fr"")"),"Prévention")</f>
        <v>Prévention</v>
      </c>
      <c r="D3530" s="1" t="s">
        <v>4963</v>
      </c>
    </row>
    <row r="3531" spans="1:97" ht="14.25" customHeight="1" x14ac:dyDescent="0.3">
      <c r="A3531" s="1" t="s">
        <v>3672</v>
      </c>
      <c r="B3531" s="1" t="str">
        <f ca="1">IFERROR(__xludf.DUMMYFUNCTION("GOOGLETRANSLATE(A3531, ""en"", ""fr"")"),"LA PRÉVENTION")</f>
        <v>LA PRÉVENTION</v>
      </c>
      <c r="D3531" s="1" t="s">
        <v>4963</v>
      </c>
    </row>
    <row r="3532" spans="1:97" ht="14.25" customHeight="1" x14ac:dyDescent="0.3">
      <c r="A3532" s="1" t="s">
        <v>3673</v>
      </c>
      <c r="B3532" s="1" t="str">
        <f ca="1">IFERROR(__xludf.DUMMYFUNCTION("GOOGLETRANSLATE(A3532, ""en"", ""fr"")"),"Empêche")</f>
        <v>Empêche</v>
      </c>
      <c r="D3532" s="1" t="s">
        <v>4963</v>
      </c>
    </row>
    <row r="3533" spans="1:97" ht="14.25" customHeight="1" x14ac:dyDescent="0.3">
      <c r="A3533" s="1" t="s">
        <v>3674</v>
      </c>
      <c r="B3533" s="1" t="str">
        <f ca="1">IFERROR(__xludf.DUMMYFUNCTION("GOOGLETRANSLATE(A3533, ""en"", ""fr"")"),"découverte de prix")</f>
        <v>découverte de prix</v>
      </c>
      <c r="M3533" s="1" t="s">
        <v>10</v>
      </c>
    </row>
    <row r="3534" spans="1:97" ht="14.25" customHeight="1" x14ac:dyDescent="0.3">
      <c r="A3534" s="1" t="s">
        <v>3675</v>
      </c>
      <c r="B3534" s="1" t="str">
        <f ca="1">IFERROR(__xludf.DUMMYFUNCTION("GOOGLETRANSLATE(A3534, ""en"", ""fr"")"),"efficacité des prix")</f>
        <v>efficacité des prix</v>
      </c>
      <c r="M3534" s="1" t="s">
        <v>10</v>
      </c>
    </row>
    <row r="3535" spans="1:97" ht="14.25" customHeight="1" x14ac:dyDescent="0.3">
      <c r="A3535" s="1" t="s">
        <v>3676</v>
      </c>
      <c r="B3535" s="1" t="str">
        <f ca="1">IFERROR(__xludf.DUMMYFUNCTION("GOOGLETRANSLATE(A3535, ""en"", ""fr"")"),"indice des prix")</f>
        <v>indice des prix</v>
      </c>
      <c r="M3535" s="1" t="s">
        <v>10</v>
      </c>
    </row>
    <row r="3536" spans="1:97" ht="14.25" customHeight="1" x14ac:dyDescent="0.3">
      <c r="A3536" s="1" t="s">
        <v>3677</v>
      </c>
      <c r="B3536" s="1" t="str">
        <f ca="1">IFERROR(__xludf.DUMMYFUNCTION("GOOGLETRANSLATE(A3536, ""en"", ""fr"")"),"liste de prix")</f>
        <v>liste de prix</v>
      </c>
      <c r="CR3536" s="1" t="s">
        <v>93</v>
      </c>
    </row>
    <row r="3537" spans="1:108" ht="14.25" customHeight="1" x14ac:dyDescent="0.3">
      <c r="A3537" s="1" t="s">
        <v>3678</v>
      </c>
      <c r="B3537" s="1" t="str">
        <f ca="1">IFERROR(__xludf.DUMMYFUNCTION("GOOGLETRANSLATE(A3537, ""en"", ""fr"")"),"prix")</f>
        <v>prix</v>
      </c>
      <c r="M3537" s="1" t="s">
        <v>10</v>
      </c>
    </row>
    <row r="3538" spans="1:108" ht="14.25" customHeight="1" x14ac:dyDescent="0.3">
      <c r="A3538" s="1" t="s">
        <v>3679</v>
      </c>
      <c r="B3538" s="1" t="str">
        <f ca="1">IFERROR(__xludf.DUMMYFUNCTION("GOOGLETRANSLATE(A3538, ""en"", ""fr"")"),"stabilité des prix")</f>
        <v>stabilité des prix</v>
      </c>
      <c r="M3538" s="1" t="s">
        <v>10</v>
      </c>
    </row>
    <row r="3539" spans="1:108" ht="14.25" customHeight="1" x14ac:dyDescent="0.3">
      <c r="A3539" s="1" t="s">
        <v>3680</v>
      </c>
      <c r="B3539" s="1" t="str">
        <f ca="1">IFERROR(__xludf.DUMMYFUNCTION("GOOGLETRANSLATE(A3539, ""en"", ""fr"")"),"preneur de prix")</f>
        <v>preneur de prix</v>
      </c>
      <c r="M3539" s="1" t="s">
        <v>10</v>
      </c>
    </row>
    <row r="3540" spans="1:108" ht="14.25" customHeight="1" x14ac:dyDescent="0.3">
      <c r="A3540" s="1" t="s">
        <v>3681</v>
      </c>
      <c r="B3540" s="1" t="str">
        <f ca="1">IFERROR(__xludf.DUMMYFUNCTION("GOOGLETRANSLATE(A3540, ""en"", ""fr"")"),"Ratio de prix / bénéfice")</f>
        <v>Ratio de prix / bénéfice</v>
      </c>
      <c r="CR3540" s="1" t="s">
        <v>93</v>
      </c>
    </row>
    <row r="3541" spans="1:108" ht="14.25" customHeight="1" x14ac:dyDescent="0.3">
      <c r="A3541" s="1" t="s">
        <v>3682</v>
      </c>
      <c r="B3541" s="1" t="str">
        <f ca="1">IFERROR(__xludf.DUMMYFUNCTION("GOOGLETRANSLATE(A3541, ""en"", ""fr"")"),"Récupération primaire")</f>
        <v>Récupération primaire</v>
      </c>
      <c r="E3541" s="1" t="s">
        <v>3</v>
      </c>
    </row>
    <row r="3542" spans="1:108" ht="14.25" customHeight="1" x14ac:dyDescent="0.3">
      <c r="A3542" s="1" t="s">
        <v>3683</v>
      </c>
      <c r="B3542" s="1" t="str">
        <f ca="1">IFERROR(__xludf.DUMMYFUNCTION("GOOGLETRANSLATE(A3542, ""en"", ""fr"")"),"taux préférentiel")</f>
        <v>taux préférentiel</v>
      </c>
      <c r="CR3542" s="1" t="s">
        <v>93</v>
      </c>
    </row>
    <row r="3543" spans="1:108" ht="14.25" customHeight="1" x14ac:dyDescent="0.3">
      <c r="A3543" s="1" t="s">
        <v>3684</v>
      </c>
      <c r="B3543" s="1" t="str">
        <f ca="1">IFERROR(__xludf.DUMMYFUNCTION("GOOGLETRANSLATE(A3543, ""en"", ""fr"")"),"principal")</f>
        <v>principal</v>
      </c>
      <c r="CR3543" s="1" t="s">
        <v>93</v>
      </c>
    </row>
    <row r="3544" spans="1:108" ht="14.25" customHeight="1" x14ac:dyDescent="0.3">
      <c r="A3544" s="1" t="s">
        <v>3685</v>
      </c>
      <c r="B3544" s="1" t="str">
        <f ca="1">IFERROR(__xludf.DUMMYFUNCTION("GOOGLETRANSLATE(A3544, ""en"", ""fr"")"),"priobskoye")</f>
        <v>priobskoye</v>
      </c>
      <c r="AK3544" s="1" t="s">
        <v>34</v>
      </c>
      <c r="BH3544" s="1" t="s">
        <v>57</v>
      </c>
      <c r="BW3544" s="1" t="s">
        <v>72</v>
      </c>
      <c r="DD3544" s="1" t="s">
        <v>105</v>
      </c>
    </row>
    <row r="3545" spans="1:108" ht="14.25" customHeight="1" x14ac:dyDescent="0.3">
      <c r="A3545" s="1" t="s">
        <v>3686</v>
      </c>
      <c r="B3545" s="1" t="str">
        <f ca="1">IFERROR(__xludf.DUMMYFUNCTION("GOOGLETRANSLATE(A3545, ""en"", ""fr"")"),"prirazlomnoye")</f>
        <v>prirazlomnoye</v>
      </c>
      <c r="AK3545" s="1" t="s">
        <v>34</v>
      </c>
      <c r="BH3545" s="1" t="s">
        <v>57</v>
      </c>
      <c r="BW3545" s="1" t="s">
        <v>72</v>
      </c>
      <c r="DD3545" s="1" t="s">
        <v>105</v>
      </c>
    </row>
    <row r="3546" spans="1:108" ht="14.25" customHeight="1" x14ac:dyDescent="0.3">
      <c r="A3546" s="1" t="s">
        <v>3687</v>
      </c>
      <c r="B3546" s="1" t="str">
        <f ca="1">IFERROR(__xludf.DUMMYFUNCTION("GOOGLETRANSLATE(A3546, ""en"", ""fr"")"),"dette privée")</f>
        <v>dette privée</v>
      </c>
      <c r="M3546" s="1" t="s">
        <v>10</v>
      </c>
    </row>
    <row r="3547" spans="1:108" ht="14.25" customHeight="1" x14ac:dyDescent="0.3">
      <c r="A3547" s="1" t="s">
        <v>3688</v>
      </c>
      <c r="B3547" s="1" t="str">
        <f ca="1">IFERROR(__xludf.DUMMYFUNCTION("GOOGLETRANSLATE(A3547, ""en"", ""fr"")"),"secteur privé")</f>
        <v>secteur privé</v>
      </c>
      <c r="M3547" s="1" t="s">
        <v>10</v>
      </c>
    </row>
    <row r="3548" spans="1:108" ht="14.25" customHeight="1" x14ac:dyDescent="0.3">
      <c r="A3548" s="1" t="s">
        <v>3689</v>
      </c>
      <c r="B3548" s="1" t="str">
        <f ca="1">IFERROR(__xludf.DUMMYFUNCTION("GOOGLETRANSLATE(A3548, ""en"", ""fr"")"),"privatisation")</f>
        <v>privatisation</v>
      </c>
      <c r="M3548" s="1" t="s">
        <v>10</v>
      </c>
    </row>
    <row r="3549" spans="1:108" ht="14.25" customHeight="1" x14ac:dyDescent="0.3">
      <c r="A3549" s="1" t="s">
        <v>3690</v>
      </c>
      <c r="B3549" s="1" t="str">
        <f ca="1">IFERROR(__xludf.DUMMYFUNCTION("GOOGLETRANSLATE(A3549, ""en"", ""fr"")"),"PROACTIF")</f>
        <v>PROACTIF</v>
      </c>
      <c r="H3549" s="1" t="s">
        <v>4964</v>
      </c>
    </row>
    <row r="3550" spans="1:108" ht="14.25" customHeight="1" x14ac:dyDescent="0.3">
      <c r="A3550" s="1" t="s">
        <v>3691</v>
      </c>
      <c r="B3550" s="1" t="str">
        <f ca="1">IFERROR(__xludf.DUMMYFUNCTION("GOOGLETRANSLATE(A3550, ""en"", ""fr"")"),"De manière proactive")</f>
        <v>De manière proactive</v>
      </c>
      <c r="H3550" s="1" t="s">
        <v>4964</v>
      </c>
    </row>
    <row r="3551" spans="1:108" ht="14.25" customHeight="1" x14ac:dyDescent="0.3">
      <c r="A3551" s="1" t="s">
        <v>3692</v>
      </c>
      <c r="B3551" s="1" t="str">
        <f ca="1">IFERROR(__xludf.DUMMYFUNCTION("GOOGLETRANSLATE(A3551, ""en"", ""fr"")"),"PROBLÈME")</f>
        <v>PROBLÈME</v>
      </c>
      <c r="D3551" s="1" t="s">
        <v>4963</v>
      </c>
    </row>
    <row r="3552" spans="1:108" ht="14.25" customHeight="1" x14ac:dyDescent="0.3">
      <c r="A3552" s="1" t="s">
        <v>3693</v>
      </c>
      <c r="B3552" s="1" t="str">
        <f ca="1">IFERROR(__xludf.DUMMYFUNCTION("GOOGLETRANSLATE(A3552, ""en"", ""fr"")"),"PROBLÉMATIQUE")</f>
        <v>PROBLÉMATIQUE</v>
      </c>
      <c r="D3552" s="1" t="s">
        <v>4963</v>
      </c>
    </row>
    <row r="3553" spans="1:97" ht="14.25" customHeight="1" x14ac:dyDescent="0.3">
      <c r="A3553" s="1" t="s">
        <v>3694</v>
      </c>
      <c r="B3553" s="1" t="str">
        <f ca="1">IFERROR(__xludf.DUMMYFUNCTION("GOOGLETRANSLATE(A3553, ""en"", ""fr"")"),"PROBLÉMATIQUE")</f>
        <v>PROBLÉMATIQUE</v>
      </c>
      <c r="D3553" s="1" t="s">
        <v>4963</v>
      </c>
    </row>
    <row r="3554" spans="1:97" ht="14.25" customHeight="1" x14ac:dyDescent="0.3">
      <c r="A3554" s="1" t="s">
        <v>3695</v>
      </c>
      <c r="B3554" s="1" t="str">
        <f ca="1">IFERROR(__xludf.DUMMYFUNCTION("GOOGLETRANSLATE(A3554, ""en"", ""fr"")"),"PROBLÈMES")</f>
        <v>PROBLÈMES</v>
      </c>
      <c r="D3554" s="1" t="s">
        <v>4963</v>
      </c>
    </row>
    <row r="3555" spans="1:97" ht="14.25" customHeight="1" x14ac:dyDescent="0.3">
      <c r="A3555" s="1" t="s">
        <v>3696</v>
      </c>
      <c r="B3555" s="1" t="str">
        <f ca="1">IFERROR(__xludf.DUMMYFUNCTION("GOOGLETRANSLATE(A3555, ""en"", ""fr"")"),"Eau produite")</f>
        <v>Eau produite</v>
      </c>
      <c r="E3555" s="1" t="s">
        <v>3</v>
      </c>
    </row>
    <row r="3556" spans="1:97" ht="14.25" customHeight="1" x14ac:dyDescent="0.3">
      <c r="A3556" s="1" t="s">
        <v>3697</v>
      </c>
      <c r="B3556" s="1" t="str">
        <f ca="1">IFERROR(__xludf.DUMMYFUNCTION("GOOGLETRANSLATE(A3556, ""en"", ""fr"")"),"indice des prix à la production")</f>
        <v>indice des prix à la production</v>
      </c>
      <c r="M3556" s="1" t="s">
        <v>10</v>
      </c>
    </row>
    <row r="3557" spans="1:97" ht="14.25" customHeight="1" x14ac:dyDescent="0.3">
      <c r="A3557" s="1" t="s">
        <v>3698</v>
      </c>
      <c r="B3557" s="1" t="str">
        <f ca="1">IFERROR(__xludf.DUMMYFUNCTION("GOOGLETRANSLATE(A3557, ""en"", ""fr"")"),"Forage de production")</f>
        <v>Forage de production</v>
      </c>
      <c r="E3557" s="1" t="s">
        <v>3</v>
      </c>
    </row>
    <row r="3558" spans="1:97" ht="14.25" customHeight="1" x14ac:dyDescent="0.3">
      <c r="A3558" s="1" t="s">
        <v>3699</v>
      </c>
      <c r="B3558" s="1" t="str">
        <f ca="1">IFERROR(__xludf.DUMMYFUNCTION("GOOGLETRANSLATE(A3558, ""en"", ""fr"")"),"Installation de production")</f>
        <v>Installation de production</v>
      </c>
      <c r="E3558" s="1" t="s">
        <v>3</v>
      </c>
    </row>
    <row r="3559" spans="1:97" ht="14.25" customHeight="1" x14ac:dyDescent="0.3">
      <c r="A3559" s="1" t="s">
        <v>3700</v>
      </c>
      <c r="B3559" s="1" t="str">
        <f ca="1">IFERROR(__xludf.DUMMYFUNCTION("GOOGLETRANSLATE(A3559, ""en"", ""fr"")"),"Frontier des possibilités de production")</f>
        <v>Frontier des possibilités de production</v>
      </c>
      <c r="M3559" s="1" t="s">
        <v>10</v>
      </c>
    </row>
    <row r="3560" spans="1:97" ht="14.25" customHeight="1" x14ac:dyDescent="0.3">
      <c r="A3560" s="1" t="s">
        <v>3701</v>
      </c>
      <c r="B3560" s="1" t="str">
        <f ca="1">IFERROR(__xludf.DUMMYFUNCTION("GOOGLETRANSLATE(A3560, ""en"", ""fr"")"),"Accord de partage de la production")</f>
        <v>Accord de partage de la production</v>
      </c>
      <c r="CS3560" s="1" t="s">
        <v>94</v>
      </c>
    </row>
    <row r="3561" spans="1:97" ht="14.25" customHeight="1" x14ac:dyDescent="0.3">
      <c r="A3561" s="1" t="s">
        <v>3702</v>
      </c>
      <c r="B3561" s="1" t="str">
        <f ca="1">IFERROR(__xludf.DUMMYFUNCTION("GOOGLETRANSLATE(A3561, ""en"", ""fr"")"),"Chaîne de production")</f>
        <v>Chaîne de production</v>
      </c>
      <c r="E3561" s="1" t="s">
        <v>3</v>
      </c>
    </row>
    <row r="3562" spans="1:97" ht="14.25" customHeight="1" x14ac:dyDescent="0.3">
      <c r="A3562" s="1" t="s">
        <v>3703</v>
      </c>
      <c r="B3562" s="1" t="str">
        <f ca="1">IFERROR(__xludf.DUMMYFUNCTION("GOOGLETRANSLATE(A3562, ""en"", ""fr"")"),"bien de la production")</f>
        <v>bien de la production</v>
      </c>
      <c r="CS3562" s="1" t="s">
        <v>94</v>
      </c>
    </row>
    <row r="3563" spans="1:97" ht="14.25" customHeight="1" x14ac:dyDescent="0.3">
      <c r="A3563" s="1" t="s">
        <v>3704</v>
      </c>
      <c r="B3563" s="1" t="str">
        <f ca="1">IFERROR(__xludf.DUMMYFUNCTION("GOOGLETRANSLATE(A3563, ""en"", ""fr"")"),"productivité")</f>
        <v>productivité</v>
      </c>
      <c r="M3563" s="1" t="s">
        <v>10</v>
      </c>
    </row>
    <row r="3564" spans="1:97" ht="14.25" customHeight="1" x14ac:dyDescent="0.3">
      <c r="A3564" s="1" t="s">
        <v>3705</v>
      </c>
      <c r="B3564" s="1" t="str">
        <f ca="1">IFERROR(__xludf.DUMMYFUNCTION("GOOGLETRANSLATE(A3564, ""en"", ""fr"")"),"rapport de productivité")</f>
        <v>rapport de productivité</v>
      </c>
      <c r="M3564" s="1" t="s">
        <v>10</v>
      </c>
    </row>
    <row r="3565" spans="1:97" ht="14.25" customHeight="1" x14ac:dyDescent="0.3">
      <c r="A3565" s="1" t="s">
        <v>3706</v>
      </c>
      <c r="B3565" s="1" t="str">
        <f ca="1">IFERROR(__xludf.DUMMYFUNCTION("GOOGLETRANSLATE(A3565, ""en"", ""fr"")"),"COMPÉTENCE")</f>
        <v>COMPÉTENCE</v>
      </c>
      <c r="H3565" s="1" t="s">
        <v>4964</v>
      </c>
    </row>
    <row r="3566" spans="1:97" ht="14.25" customHeight="1" x14ac:dyDescent="0.3">
      <c r="A3566" s="1" t="s">
        <v>3707</v>
      </c>
      <c r="B3566" s="1" t="str">
        <f ca="1">IFERROR(__xludf.DUMMYFUNCTION("GOOGLETRANSLATE(A3566, ""en"", ""fr"")"),"COMPÉTENT")</f>
        <v>COMPÉTENT</v>
      </c>
      <c r="H3566" s="1" t="s">
        <v>4964</v>
      </c>
    </row>
    <row r="3567" spans="1:97" ht="14.25" customHeight="1" x14ac:dyDescent="0.3">
      <c r="A3567" s="1" t="s">
        <v>3708</v>
      </c>
      <c r="B3567" s="1" t="str">
        <f ca="1">IFERROR(__xludf.DUMMYFUNCTION("GOOGLETRANSLATE(A3567, ""en"", ""fr"")"),"Avec compétence")</f>
        <v>Avec compétence</v>
      </c>
      <c r="H3567" s="1" t="s">
        <v>4964</v>
      </c>
    </row>
    <row r="3568" spans="1:97" ht="14.25" customHeight="1" x14ac:dyDescent="0.3">
      <c r="A3568" s="1" t="s">
        <v>3709</v>
      </c>
      <c r="B3568" s="1" t="str">
        <f ca="1">IFERROR(__xludf.DUMMYFUNCTION("GOOGLETRANSLATE(A3568, ""en"", ""fr"")"),"profit")</f>
        <v>profit</v>
      </c>
      <c r="CR3568" s="1" t="s">
        <v>93</v>
      </c>
    </row>
    <row r="3569" spans="1:96" ht="14.25" customHeight="1" x14ac:dyDescent="0.3">
      <c r="A3569" s="1" t="s">
        <v>3710</v>
      </c>
      <c r="B3569" s="1" t="str">
        <f ca="1">IFERROR(__xludf.DUMMYFUNCTION("GOOGLETRANSLATE(A3569, ""en"", ""fr"")"),"Déclaration de profit et de perte")</f>
        <v>Déclaration de profit et de perte</v>
      </c>
      <c r="CR3569" s="1" t="s">
        <v>93</v>
      </c>
    </row>
    <row r="3570" spans="1:96" ht="14.25" customHeight="1" x14ac:dyDescent="0.3">
      <c r="A3570" s="1" t="s">
        <v>3711</v>
      </c>
      <c r="B3570" s="1" t="str">
        <f ca="1">IFERROR(__xludf.DUMMYFUNCTION("GOOGLETRANSLATE(A3570, ""en"", ""fr"")"),"RENTABILITÉ")</f>
        <v>RENTABILITÉ</v>
      </c>
      <c r="H3570" s="1" t="s">
        <v>4964</v>
      </c>
    </row>
    <row r="3571" spans="1:96" ht="14.25" customHeight="1" x14ac:dyDescent="0.3">
      <c r="A3571" s="1" t="s">
        <v>3712</v>
      </c>
      <c r="B3571" s="1" t="str">
        <f ca="1">IFERROR(__xludf.DUMMYFUNCTION("GOOGLETRANSLATE(A3571, ""en"", ""fr"")"),"rentable")</f>
        <v>rentable</v>
      </c>
      <c r="M3571" s="1" t="s">
        <v>10</v>
      </c>
    </row>
    <row r="3572" spans="1:96" ht="14.25" customHeight="1" x14ac:dyDescent="0.3">
      <c r="A3572" s="1" t="s">
        <v>3713</v>
      </c>
      <c r="B3572" s="1" t="str">
        <f ca="1">IFERROR(__xludf.DUMMYFUNCTION("GOOGLETRANSLATE(A3572, ""en"", ""fr"")"),"RENTABLE")</f>
        <v>RENTABLE</v>
      </c>
      <c r="H3572" s="1" t="s">
        <v>4964</v>
      </c>
    </row>
    <row r="3573" spans="1:96" ht="14.25" customHeight="1" x14ac:dyDescent="0.3">
      <c r="A3573" s="1" t="s">
        <v>3714</v>
      </c>
      <c r="B3573" s="1" t="str">
        <f ca="1">IFERROR(__xludf.DUMMYFUNCTION("GOOGLETRANSLATE(A3573, ""en"", ""fr"")"),"AVEC PROFIT")</f>
        <v>AVEC PROFIT</v>
      </c>
      <c r="H3573" s="1" t="s">
        <v>4964</v>
      </c>
    </row>
    <row r="3574" spans="1:96" ht="14.25" customHeight="1" x14ac:dyDescent="0.3">
      <c r="A3574" s="1" t="s">
        <v>3715</v>
      </c>
      <c r="B3574" s="1" t="str">
        <f ca="1">IFERROR(__xludf.DUMMYFUNCTION("GOOGLETRANSLATE(A3574, ""en"", ""fr"")"),"États financiers pro-forma")</f>
        <v>États financiers pro-forma</v>
      </c>
      <c r="CR3574" s="1" t="s">
        <v>93</v>
      </c>
    </row>
    <row r="3575" spans="1:96" ht="14.25" customHeight="1" x14ac:dyDescent="0.3">
      <c r="A3575" s="1" t="s">
        <v>3716</v>
      </c>
      <c r="B3575" s="1" t="str">
        <f ca="1">IFERROR(__xludf.DUMMYFUNCTION("GOOGLETRANSLATE(A3575, ""en"", ""fr"")"),"PROGRÈS")</f>
        <v>PROGRÈS</v>
      </c>
      <c r="H3575" s="1" t="s">
        <v>4964</v>
      </c>
    </row>
    <row r="3576" spans="1:96" ht="14.25" customHeight="1" x14ac:dyDescent="0.3">
      <c r="A3576" s="1" t="s">
        <v>3717</v>
      </c>
      <c r="B3576" s="1" t="str">
        <f ca="1">IFERROR(__xludf.DUMMYFUNCTION("GOOGLETRANSLATE(A3576, ""en"", ""fr"")"),"Progressé")</f>
        <v>Progressé</v>
      </c>
      <c r="H3576" s="1" t="s">
        <v>4964</v>
      </c>
    </row>
    <row r="3577" spans="1:96" ht="14.25" customHeight="1" x14ac:dyDescent="0.3">
      <c r="A3577" s="1" t="s">
        <v>3718</v>
      </c>
      <c r="B3577" s="1" t="str">
        <f ca="1">IFERROR(__xludf.DUMMYFUNCTION("GOOGLETRANSLATE(A3577, ""en"", ""fr"")"),"Progrès")</f>
        <v>Progrès</v>
      </c>
      <c r="H3577" s="1" t="s">
        <v>4964</v>
      </c>
    </row>
    <row r="3578" spans="1:96" ht="14.25" customHeight="1" x14ac:dyDescent="0.3">
      <c r="A3578" s="1" t="s">
        <v>3719</v>
      </c>
      <c r="B3578" s="1" t="str">
        <f ca="1">IFERROR(__xludf.DUMMYFUNCTION("GOOGLETRANSLATE(A3578, ""en"", ""fr"")"),"Progrès")</f>
        <v>Progrès</v>
      </c>
      <c r="H3578" s="1" t="s">
        <v>4964</v>
      </c>
    </row>
    <row r="3579" spans="1:96" ht="14.25" customHeight="1" x14ac:dyDescent="0.3">
      <c r="A3579" s="1" t="s">
        <v>3720</v>
      </c>
      <c r="B3579" s="1" t="str">
        <f ca="1">IFERROR(__xludf.DUMMYFUNCTION("GOOGLETRANSLATE(A3579, ""en"", ""fr"")"),"lien de projet")</f>
        <v>lien de projet</v>
      </c>
      <c r="M3579" s="1" t="s">
        <v>10</v>
      </c>
    </row>
    <row r="3580" spans="1:96" ht="14.25" customHeight="1" x14ac:dyDescent="0.3">
      <c r="A3580" s="1" t="s">
        <v>3721</v>
      </c>
      <c r="B3580" s="1" t="str">
        <f ca="1">IFERROR(__xludf.DUMMYFUNCTION("GOOGLETRANSLATE(A3580, ""en"", ""fr"")"),"PROLONGER")</f>
        <v>PROLONGER</v>
      </c>
      <c r="D3580" s="1" t="s">
        <v>4963</v>
      </c>
    </row>
    <row r="3581" spans="1:96" ht="14.25" customHeight="1" x14ac:dyDescent="0.3">
      <c r="A3581" s="1" t="s">
        <v>3722</v>
      </c>
      <c r="B3581" s="1" t="str">
        <f ca="1">IFERROR(__xludf.DUMMYFUNCTION("GOOGLETRANSLATE(A3581, ""en"", ""fr"")"),"PROLONGEMENT")</f>
        <v>PROLONGEMENT</v>
      </c>
      <c r="D3581" s="1" t="s">
        <v>4963</v>
      </c>
    </row>
    <row r="3582" spans="1:96" ht="14.25" customHeight="1" x14ac:dyDescent="0.3">
      <c r="A3582" s="1" t="s">
        <v>3723</v>
      </c>
      <c r="B3582" s="1" t="str">
        <f ca="1">IFERROR(__xludf.DUMMYFUNCTION("GOOGLETRANSLATE(A3582, ""en"", ""fr"")"),"Prolongations")</f>
        <v>Prolongations</v>
      </c>
      <c r="D3582" s="1" t="s">
        <v>4963</v>
      </c>
    </row>
    <row r="3583" spans="1:96" ht="14.25" customHeight="1" x14ac:dyDescent="0.3">
      <c r="A3583" s="1" t="s">
        <v>3724</v>
      </c>
      <c r="B3583" s="1" t="str">
        <f ca="1">IFERROR(__xludf.DUMMYFUNCTION("GOOGLETRANSLATE(A3583, ""en"", ""fr"")"),"PROLONGÉ")</f>
        <v>PROLONGÉ</v>
      </c>
      <c r="D3583" s="1" t="s">
        <v>4963</v>
      </c>
    </row>
    <row r="3584" spans="1:96" ht="14.25" customHeight="1" x14ac:dyDescent="0.3">
      <c r="A3584" s="1" t="s">
        <v>3725</v>
      </c>
      <c r="B3584" s="1" t="str">
        <f ca="1">IFERROR(__xludf.DUMMYFUNCTION("GOOGLETRANSLATE(A3584, ""en"", ""fr"")"),"Prolongation")</f>
        <v>Prolongation</v>
      </c>
      <c r="D3584" s="1" t="s">
        <v>4963</v>
      </c>
    </row>
    <row r="3585" spans="1:97" ht="14.25" customHeight="1" x14ac:dyDescent="0.3">
      <c r="A3585" s="1" t="s">
        <v>3726</v>
      </c>
      <c r="B3585" s="1" t="str">
        <f ca="1">IFERROR(__xludf.DUMMYFUNCTION("GOOGLETRANSLATE(A3585, ""en"", ""fr"")"),"Prolonge")</f>
        <v>Prolonge</v>
      </c>
      <c r="D3585" s="1" t="s">
        <v>4963</v>
      </c>
    </row>
    <row r="3586" spans="1:97" ht="14.25" customHeight="1" x14ac:dyDescent="0.3">
      <c r="A3586" s="1" t="s">
        <v>3727</v>
      </c>
      <c r="B3586" s="1" t="str">
        <f ca="1">IFERROR(__xludf.DUMMYFUNCTION("GOOGLETRANSLATE(A3586, ""en"", ""fr"")"),"Remises de paiement rapide")</f>
        <v>Remises de paiement rapide</v>
      </c>
      <c r="CR3586" s="1" t="s">
        <v>93</v>
      </c>
    </row>
    <row r="3587" spans="1:97" ht="14.25" customHeight="1" x14ac:dyDescent="0.3">
      <c r="A3587" s="1" t="s">
        <v>3728</v>
      </c>
      <c r="B3587" s="1" t="str">
        <f ca="1">IFERROR(__xludf.DUMMYFUNCTION("GOOGLETRANSLATE(A3587, ""en"", ""fr"")"),"SUJET")</f>
        <v>SUJET</v>
      </c>
      <c r="D3587" s="1" t="s">
        <v>4963</v>
      </c>
    </row>
    <row r="3588" spans="1:97" ht="14.25" customHeight="1" x14ac:dyDescent="0.3">
      <c r="A3588" s="1" t="s">
        <v>3729</v>
      </c>
      <c r="B3588" s="1" t="str">
        <f ca="1">IFERROR(__xludf.DUMMYFUNCTION("GOOGLETRANSLATE(A3588, ""en"", ""fr"")"),"propriété, usine et équipement")</f>
        <v>propriété, usine et équipement</v>
      </c>
      <c r="CR3588" s="1" t="s">
        <v>93</v>
      </c>
    </row>
    <row r="3589" spans="1:97" ht="14.25" customHeight="1" x14ac:dyDescent="0.3">
      <c r="A3589" s="1" t="s">
        <v>3730</v>
      </c>
      <c r="B3589" s="1" t="str">
        <f ca="1">IFERROR(__xludf.DUMMYFUNCTION("GOOGLETRANSLATE(A3589, ""en"", ""fr"")"),"POURSUIVRE")</f>
        <v>POURSUIVRE</v>
      </c>
      <c r="D3589" s="1" t="s">
        <v>4963</v>
      </c>
    </row>
    <row r="3590" spans="1:97" ht="14.25" customHeight="1" x14ac:dyDescent="0.3">
      <c r="A3590" s="1" t="s">
        <v>3731</v>
      </c>
      <c r="B3590" s="1" t="str">
        <f ca="1">IFERROR(__xludf.DUMMYFUNCTION("GOOGLETRANSLATE(A3590, ""en"", ""fr"")"),"Poursuivi")</f>
        <v>Poursuivi</v>
      </c>
      <c r="D3590" s="1" t="s">
        <v>4963</v>
      </c>
    </row>
    <row r="3591" spans="1:97" ht="14.25" customHeight="1" x14ac:dyDescent="0.3">
      <c r="A3591" s="1" t="s">
        <v>3732</v>
      </c>
      <c r="B3591" s="1" t="str">
        <f ca="1">IFERROR(__xludf.DUMMYFUNCTION("GOOGLETRANSLATE(A3591, ""en"", ""fr"")"),"Poursuite")</f>
        <v>Poursuite</v>
      </c>
      <c r="D3591" s="1" t="s">
        <v>4963</v>
      </c>
    </row>
    <row r="3592" spans="1:97" ht="14.25" customHeight="1" x14ac:dyDescent="0.3">
      <c r="A3592" s="1" t="s">
        <v>3733</v>
      </c>
      <c r="B3592" s="1" t="str">
        <f ca="1">IFERROR(__xludf.DUMMYFUNCTION("GOOGLETRANSLATE(A3592, ""en"", ""fr"")"),"Poursuivre")</f>
        <v>Poursuivre</v>
      </c>
      <c r="D3592" s="1" t="s">
        <v>4963</v>
      </c>
    </row>
    <row r="3593" spans="1:97" ht="14.25" customHeight="1" x14ac:dyDescent="0.3">
      <c r="A3593" s="1" t="s">
        <v>3734</v>
      </c>
      <c r="B3593" s="1" t="str">
        <f ca="1">IFERROR(__xludf.DUMMYFUNCTION("GOOGLETRANSLATE(A3593, ""en"", ""fr"")"),"POURSUITE")</f>
        <v>POURSUITE</v>
      </c>
      <c r="D3593" s="1" t="s">
        <v>4963</v>
      </c>
    </row>
    <row r="3594" spans="1:97" ht="14.25" customHeight="1" x14ac:dyDescent="0.3">
      <c r="A3594" s="1" t="s">
        <v>3735</v>
      </c>
      <c r="B3594" s="1" t="str">
        <f ca="1">IFERROR(__xludf.DUMMYFUNCTION("GOOGLETRANSLATE(A3594, ""en"", ""fr"")"),"Poursuite")</f>
        <v>Poursuite</v>
      </c>
      <c r="D3594" s="1" t="s">
        <v>4963</v>
      </c>
    </row>
    <row r="3595" spans="1:97" ht="14.25" customHeight="1" x14ac:dyDescent="0.3">
      <c r="A3595" s="1" t="s">
        <v>3736</v>
      </c>
      <c r="B3595" s="1" t="str">
        <f ca="1">IFERROR(__xludf.DUMMYFUNCTION("GOOGLETRANSLATE(A3595, ""en"", ""fr"")"),"perspective")</f>
        <v>perspective</v>
      </c>
      <c r="CS3595" s="1" t="s">
        <v>94</v>
      </c>
    </row>
    <row r="3596" spans="1:97" ht="14.25" customHeight="1" x14ac:dyDescent="0.3">
      <c r="A3596" s="1" t="s">
        <v>3737</v>
      </c>
      <c r="B3596" s="1" t="str">
        <f ca="1">IFERROR(__xludf.DUMMYFUNCTION("GOOGLETRANSLATE(A3596, ""en"", ""fr"")"),"Prospéré")</f>
        <v>Prospéré</v>
      </c>
      <c r="H3596" s="1" t="s">
        <v>4964</v>
      </c>
    </row>
    <row r="3597" spans="1:97" ht="14.25" customHeight="1" x14ac:dyDescent="0.3">
      <c r="A3597" s="1" t="s">
        <v>3738</v>
      </c>
      <c r="B3597" s="1" t="str">
        <f ca="1">IFERROR(__xludf.DUMMYFUNCTION("GOOGLETRANSLATE(A3597, ""en"", ""fr"")"),"Prospérant")</f>
        <v>Prospérant</v>
      </c>
      <c r="H3597" s="1" t="s">
        <v>4964</v>
      </c>
    </row>
    <row r="3598" spans="1:97" ht="14.25" customHeight="1" x14ac:dyDescent="0.3">
      <c r="A3598" s="1" t="s">
        <v>3739</v>
      </c>
      <c r="B3598" s="1" t="str">
        <f ca="1">IFERROR(__xludf.DUMMYFUNCTION("GOOGLETRANSLATE(A3598, ""en"", ""fr"")"),"PROSPÉRITÉ")</f>
        <v>PROSPÉRITÉ</v>
      </c>
      <c r="H3598" s="1" t="s">
        <v>4964</v>
      </c>
    </row>
    <row r="3599" spans="1:97" ht="14.25" customHeight="1" x14ac:dyDescent="0.3">
      <c r="A3599" s="1" t="s">
        <v>3740</v>
      </c>
      <c r="B3599" s="1" t="str">
        <f ca="1">IFERROR(__xludf.DUMMYFUNCTION("GOOGLETRANSLATE(A3599, ""en"", ""fr"")"),"PROSPÈRE")</f>
        <v>PROSPÈRE</v>
      </c>
      <c r="H3599" s="1" t="s">
        <v>4964</v>
      </c>
    </row>
    <row r="3600" spans="1:97" ht="14.25" customHeight="1" x14ac:dyDescent="0.3">
      <c r="A3600" s="1" t="s">
        <v>3741</v>
      </c>
      <c r="B3600" s="1" t="str">
        <f ca="1">IFERROR(__xludf.DUMMYFUNCTION("GOOGLETRANSLATE(A3600, ""en"", ""fr"")"),"Prospérer")</f>
        <v>Prospérer</v>
      </c>
      <c r="H3600" s="1" t="s">
        <v>4964</v>
      </c>
    </row>
    <row r="3601" spans="1:97" ht="14.25" customHeight="1" x14ac:dyDescent="0.3">
      <c r="A3601" s="1" t="s">
        <v>3742</v>
      </c>
      <c r="B3601" s="1" t="str">
        <f ca="1">IFERROR(__xludf.DUMMYFUNCTION("GOOGLETRANSLATE(A3601, ""en"", ""fr"")"),"protectionnisme")</f>
        <v>protectionnisme</v>
      </c>
      <c r="M3601" s="1" t="s">
        <v>10</v>
      </c>
    </row>
    <row r="3602" spans="1:97" ht="14.25" customHeight="1" x14ac:dyDescent="0.3">
      <c r="A3602" s="1" t="s">
        <v>3743</v>
      </c>
      <c r="B3602" s="1" t="str">
        <f ca="1">IFERROR(__xludf.DUMMYFUNCTION("GOOGLETRANSLATE(A3602, ""en"", ""fr"")"),"MANIFESTATION")</f>
        <v>MANIFESTATION</v>
      </c>
      <c r="D3602" s="1" t="s">
        <v>4963</v>
      </c>
    </row>
    <row r="3603" spans="1:97" ht="14.25" customHeight="1" x14ac:dyDescent="0.3">
      <c r="A3603" s="1" t="s">
        <v>3744</v>
      </c>
      <c r="B3603" s="1" t="str">
        <f ca="1">IFERROR(__xludf.DUMMYFUNCTION("GOOGLETRANSLATE(A3603, ""en"", ""fr"")"),"Protesté")</f>
        <v>Protesté</v>
      </c>
      <c r="D3603" s="1" t="s">
        <v>4963</v>
      </c>
    </row>
    <row r="3604" spans="1:97" ht="14.25" customHeight="1" x14ac:dyDescent="0.3">
      <c r="A3604" s="1" t="s">
        <v>3745</v>
      </c>
      <c r="B3604" s="1" t="str">
        <f ca="1">IFERROR(__xludf.DUMMYFUNCTION("GOOGLETRANSLATE(A3604, ""en"", ""fr"")"),"Manifestation")</f>
        <v>Manifestation</v>
      </c>
      <c r="D3604" s="1" t="s">
        <v>4963</v>
      </c>
    </row>
    <row r="3605" spans="1:97" ht="14.25" customHeight="1" x14ac:dyDescent="0.3">
      <c r="A3605" s="1" t="s">
        <v>3746</v>
      </c>
      <c r="B3605" s="1" t="str">
        <f ca="1">IFERROR(__xludf.DUMMYFUNCTION("GOOGLETRANSLATE(A3605, ""en"", ""fr"")"),"Manifestants")</f>
        <v>Manifestants</v>
      </c>
      <c r="D3605" s="1" t="s">
        <v>4963</v>
      </c>
    </row>
    <row r="3606" spans="1:97" ht="14.25" customHeight="1" x14ac:dyDescent="0.3">
      <c r="A3606" s="1" t="s">
        <v>3747</v>
      </c>
      <c r="B3606" s="1" t="str">
        <f ca="1">IFERROR(__xludf.DUMMYFUNCTION("GOOGLETRANSLATE(A3606, ""en"", ""fr"")"),"Protestation")</f>
        <v>Protestation</v>
      </c>
      <c r="D3606" s="1" t="s">
        <v>4963</v>
      </c>
    </row>
    <row r="3607" spans="1:97" ht="14.25" customHeight="1" x14ac:dyDescent="0.3">
      <c r="A3607" s="1" t="s">
        <v>3748</v>
      </c>
      <c r="B3607" s="1" t="str">
        <f ca="1">IFERROR(__xludf.DUMMYFUNCTION("GOOGLETRANSLATE(A3607, ""en"", ""fr"")"),"Manifestant")</f>
        <v>Manifestant</v>
      </c>
      <c r="D3607" s="1" t="s">
        <v>4963</v>
      </c>
    </row>
    <row r="3608" spans="1:97" ht="14.25" customHeight="1" x14ac:dyDescent="0.3">
      <c r="A3608" s="1" t="s">
        <v>3749</v>
      </c>
      <c r="B3608" s="1" t="str">
        <f ca="1">IFERROR(__xludf.DUMMYFUNCTION("GOOGLETRANSLATE(A3608, ""en"", ""fr"")"),"Manifestants")</f>
        <v>Manifestants</v>
      </c>
      <c r="D3608" s="1" t="s">
        <v>4963</v>
      </c>
    </row>
    <row r="3609" spans="1:97" ht="14.25" customHeight="1" x14ac:dyDescent="0.3">
      <c r="A3609" s="1" t="s">
        <v>3750</v>
      </c>
      <c r="B3609" s="1" t="str">
        <f ca="1">IFERROR(__xludf.DUMMYFUNCTION("GOOGLETRANSLATE(A3609, ""en"", ""fr"")"),"Manifestations")</f>
        <v>Manifestations</v>
      </c>
      <c r="D3609" s="1" t="s">
        <v>4963</v>
      </c>
    </row>
    <row r="3610" spans="1:97" ht="14.25" customHeight="1" x14ac:dyDescent="0.3">
      <c r="A3610" s="1" t="s">
        <v>3751</v>
      </c>
      <c r="B3610" s="1" t="str">
        <f ca="1">IFERROR(__xludf.DUMMYFUNCTION("GOOGLETRANSLATE(A3610, ""en"", ""fr"")"),"PROLONGÉ")</f>
        <v>PROLONGÉ</v>
      </c>
      <c r="D3610" s="1" t="s">
        <v>4963</v>
      </c>
    </row>
    <row r="3611" spans="1:97" ht="14.25" customHeight="1" x14ac:dyDescent="0.3">
      <c r="A3611" s="1" t="s">
        <v>3752</v>
      </c>
      <c r="B3611" s="1" t="str">
        <f ca="1">IFERROR(__xludf.DUMMYFUNCTION("GOOGLETRANSLATE(A3611, ""en"", ""fr"")"),"PROLONGATION")</f>
        <v>PROLONGATION</v>
      </c>
      <c r="D3611" s="1" t="s">
        <v>4963</v>
      </c>
    </row>
    <row r="3612" spans="1:97" ht="14.25" customHeight="1" x14ac:dyDescent="0.3">
      <c r="A3612" s="1" t="s">
        <v>3753</v>
      </c>
      <c r="B3612" s="1" t="str">
        <f ca="1">IFERROR(__xludf.DUMMYFUNCTION("GOOGLETRANSLATE(A3612, ""en"", ""fr"")"),"Réserves de pétrole éprouvées")</f>
        <v>Réserves de pétrole éprouvées</v>
      </c>
      <c r="CS3612" s="1" t="s">
        <v>94</v>
      </c>
    </row>
    <row r="3613" spans="1:97" ht="14.25" customHeight="1" x14ac:dyDescent="0.3">
      <c r="A3613" s="1" t="s">
        <v>3754</v>
      </c>
      <c r="B3613" s="1" t="str">
        <f ca="1">IFERROR(__xludf.DUMMYFUNCTION("GOOGLETRANSLATE(A3613, ""en"", ""fr"")"),"PROVOQUER")</f>
        <v>PROVOQUER</v>
      </c>
      <c r="D3613" s="1" t="s">
        <v>4963</v>
      </c>
    </row>
    <row r="3614" spans="1:97" ht="14.25" customHeight="1" x14ac:dyDescent="0.3">
      <c r="A3614" s="1" t="s">
        <v>3755</v>
      </c>
      <c r="B3614" s="1" t="str">
        <f ca="1">IFERROR(__xludf.DUMMYFUNCTION("GOOGLETRANSLATE(A3614, ""en"", ""fr"")"),"Provoqué")</f>
        <v>Provoqué</v>
      </c>
      <c r="D3614" s="1" t="s">
        <v>4963</v>
      </c>
    </row>
    <row r="3615" spans="1:97" ht="14.25" customHeight="1" x14ac:dyDescent="0.3">
      <c r="A3615" s="1" t="s">
        <v>3756</v>
      </c>
      <c r="B3615" s="1" t="str">
        <f ca="1">IFERROR(__xludf.DUMMYFUNCTION("GOOGLETRANSLATE(A3615, ""en"", ""fr"")"),"Provoquer")</f>
        <v>Provoquer</v>
      </c>
      <c r="D3615" s="1" t="s">
        <v>4963</v>
      </c>
    </row>
    <row r="3616" spans="1:97" ht="14.25" customHeight="1" x14ac:dyDescent="0.3">
      <c r="A3616" s="1" t="s">
        <v>3757</v>
      </c>
      <c r="B3616" s="1" t="str">
        <f ca="1">IFERROR(__xludf.DUMMYFUNCTION("GOOGLETRANSLATE(A3616, ""en"", ""fr"")"),"Provoquant")</f>
        <v>Provoquant</v>
      </c>
      <c r="D3616" s="1" t="s">
        <v>4963</v>
      </c>
    </row>
    <row r="3617" spans="1:140" ht="14.25" customHeight="1" x14ac:dyDescent="0.3">
      <c r="A3617" s="1" t="s">
        <v>3758</v>
      </c>
      <c r="B3617" s="1" t="str">
        <f ca="1">IFERROR(__xludf.DUMMYFUNCTION("GOOGLETRANSLATE(A3617, ""en"", ""fr"")"),"prudhoebay")</f>
        <v>prudhoebay</v>
      </c>
      <c r="DD3617" s="1" t="s">
        <v>105</v>
      </c>
      <c r="DF3617" s="1" t="s">
        <v>107</v>
      </c>
      <c r="DK3617" s="1" t="s">
        <v>112</v>
      </c>
    </row>
    <row r="3618" spans="1:140" ht="14.25" customHeight="1" x14ac:dyDescent="0.3">
      <c r="A3618" s="1" t="s">
        <v>3759</v>
      </c>
      <c r="B3618" s="1" t="str">
        <f ca="1">IFERROR(__xludf.DUMMYFUNCTION("GOOGLETRANSLATE(A3618, ""en"", ""fr"")"),"biens publics")</f>
        <v>biens publics</v>
      </c>
      <c r="M3618" s="1" t="s">
        <v>10</v>
      </c>
    </row>
    <row r="3619" spans="1:140" ht="14.25" customHeight="1" x14ac:dyDescent="0.3">
      <c r="A3619" s="1" t="s">
        <v>3760</v>
      </c>
      <c r="B3619" s="1" t="str">
        <f ca="1">IFERROR(__xludf.DUMMYFUNCTION("GOOGLETRANSLATE(A3619, ""en"", ""fr"")"),"secteur public")</f>
        <v>secteur public</v>
      </c>
      <c r="M3619" s="1" t="s">
        <v>10</v>
      </c>
    </row>
    <row r="3620" spans="1:140" ht="14.25" customHeight="1" x14ac:dyDescent="0.3">
      <c r="A3620" s="1" t="s">
        <v>3761</v>
      </c>
      <c r="B3620" s="1" t="str">
        <f ca="1">IFERROR(__xludf.DUMMYFUNCTION("GOOGLETRANSLATE(A3620, ""en"", ""fr"")"),"Projet de travaux publics")</f>
        <v>Projet de travaux publics</v>
      </c>
      <c r="M3620" s="1" t="s">
        <v>10</v>
      </c>
    </row>
    <row r="3621" spans="1:140" ht="14.25" customHeight="1" x14ac:dyDescent="0.3">
      <c r="A3621" s="1" t="s">
        <v>3762</v>
      </c>
      <c r="B3621" s="1" t="str">
        <f ca="1">IFERROR(__xludf.DUMMYFUNCTION("GOOGLETRANSLATE(A3621, ""en"", ""fr"")"),"Programme d'investissement public-privé (PPIP)")</f>
        <v>Programme d'investissement public-privé (PPIP)</v>
      </c>
      <c r="M3621" s="1" t="s">
        <v>10</v>
      </c>
    </row>
    <row r="3622" spans="1:140" ht="14.25" customHeight="1" x14ac:dyDescent="0.3">
      <c r="A3622" s="1" t="s">
        <v>3763</v>
      </c>
      <c r="B3622" s="1" t="str">
        <f ca="1">IFERROR(__xludf.DUMMYFUNCTION("GOOGLETRANSLATE(A3622, ""en"", ""fr"")"),"Puerto José")</f>
        <v>Puerto José</v>
      </c>
      <c r="R3622" s="1" t="s">
        <v>15</v>
      </c>
      <c r="CS3622" s="1" t="s">
        <v>94</v>
      </c>
    </row>
    <row r="3623" spans="1:140" ht="14.25" customHeight="1" x14ac:dyDescent="0.3">
      <c r="A3623" s="1" t="s">
        <v>3764</v>
      </c>
      <c r="B3623" s="1" t="str">
        <f ca="1">IFERROR(__xludf.DUMMYFUNCTION("GOOGLETRANSLATE(A3623, ""en"", ""fr"")"),"raffinerie Pulau Bukom")</f>
        <v>raffinerie Pulau Bukom</v>
      </c>
      <c r="N3623" s="1" t="s">
        <v>11</v>
      </c>
      <c r="BF3623" s="1" t="s">
        <v>55</v>
      </c>
      <c r="EB3623" s="1" t="s">
        <v>129</v>
      </c>
      <c r="EJ3623" s="1" t="s">
        <v>137</v>
      </c>
    </row>
    <row r="3624" spans="1:140" ht="14.25" customHeight="1" x14ac:dyDescent="0.3">
      <c r="A3624" s="1" t="s">
        <v>3765</v>
      </c>
      <c r="B3624" s="1" t="str">
        <f ca="1">IFERROR(__xludf.DUMMYFUNCTION("GOOGLETRANSLATE(A3624, ""en"", ""fr"")"),"Pompe")</f>
        <v>Pompe</v>
      </c>
      <c r="E3624" s="1" t="s">
        <v>3</v>
      </c>
    </row>
    <row r="3625" spans="1:140" ht="14.25" customHeight="1" x14ac:dyDescent="0.3">
      <c r="A3625" s="1" t="s">
        <v>3766</v>
      </c>
      <c r="B3625" s="1" t="str">
        <f ca="1">IFERROR(__xludf.DUMMYFUNCTION("GOOGLETRANSLATE(A3625, ""en"", ""fr"")"),"Station de pompage")</f>
        <v>Station de pompage</v>
      </c>
      <c r="E3625" s="1" t="s">
        <v>3</v>
      </c>
    </row>
    <row r="3626" spans="1:140" ht="14.25" customHeight="1" x14ac:dyDescent="0.3">
      <c r="A3626" s="1" t="s">
        <v>3767</v>
      </c>
      <c r="B3626" s="1" t="str">
        <f ca="1">IFERROR(__xludf.DUMMYFUNCTION("GOOGLETRANSLATE(A3626, ""en"", ""fr"")"),"PUNI")</f>
        <v>PUNI</v>
      </c>
      <c r="D3626" s="1" t="s">
        <v>4963</v>
      </c>
    </row>
    <row r="3627" spans="1:140" ht="14.25" customHeight="1" x14ac:dyDescent="0.3">
      <c r="A3627" s="1" t="s">
        <v>3768</v>
      </c>
      <c r="B3627" s="1" t="str">
        <f ca="1">IFERROR(__xludf.DUMMYFUNCTION("GOOGLETRANSLATE(A3627, ""en"", ""fr"")"),"Puniter")</f>
        <v>Puniter</v>
      </c>
      <c r="D3627" s="1" t="s">
        <v>4963</v>
      </c>
    </row>
    <row r="3628" spans="1:140" ht="14.25" customHeight="1" x14ac:dyDescent="0.3">
      <c r="A3628" s="1" t="s">
        <v>3769</v>
      </c>
      <c r="B3628" s="1" t="str">
        <f ca="1">IFERROR(__xludf.DUMMYFUNCTION("GOOGLETRANSLATE(A3628, ""en"", ""fr"")"),"Punissant")</f>
        <v>Punissant</v>
      </c>
      <c r="D3628" s="1" t="s">
        <v>4963</v>
      </c>
    </row>
    <row r="3629" spans="1:140" ht="14.25" customHeight="1" x14ac:dyDescent="0.3">
      <c r="A3629" s="1" t="s">
        <v>3770</v>
      </c>
      <c r="B3629" s="1" t="str">
        <f ca="1">IFERROR(__xludf.DUMMYFUNCTION("GOOGLETRANSLATE(A3629, ""en"", ""fr"")"),"CHÂTIMENT")</f>
        <v>CHÂTIMENT</v>
      </c>
      <c r="D3629" s="1" t="s">
        <v>4963</v>
      </c>
    </row>
    <row r="3630" spans="1:140" ht="14.25" customHeight="1" x14ac:dyDescent="0.3">
      <c r="A3630" s="1" t="s">
        <v>3771</v>
      </c>
      <c r="B3630" s="1" t="str">
        <f ca="1">IFERROR(__xludf.DUMMYFUNCTION("GOOGLETRANSLATE(A3630, ""en"", ""fr"")"),"LES SANCTIONS")</f>
        <v>LES SANCTIONS</v>
      </c>
      <c r="D3630" s="1" t="s">
        <v>4963</v>
      </c>
    </row>
    <row r="3631" spans="1:140" ht="14.25" customHeight="1" x14ac:dyDescent="0.3">
      <c r="A3631" s="1" t="s">
        <v>3772</v>
      </c>
      <c r="B3631" s="1" t="str">
        <f ca="1">IFERROR(__xludf.DUMMYFUNCTION("GOOGLETRANSLATE(A3631, ""en"", ""fr"")"),"PUNITIF")</f>
        <v>PUNITIF</v>
      </c>
      <c r="D3631" s="1" t="s">
        <v>4963</v>
      </c>
    </row>
    <row r="3632" spans="1:140" ht="14.25" customHeight="1" x14ac:dyDescent="0.3">
      <c r="A3632" s="1" t="s">
        <v>3773</v>
      </c>
      <c r="B3632" s="1" t="str">
        <f ca="1">IFERROR(__xludf.DUMMYFUNCTION("GOOGLETRANSLATE(A3632, ""en"", ""fr"")"),"Achats de PP&amp;E")</f>
        <v>Achats de PP&amp;E</v>
      </c>
      <c r="CR3632" s="1" t="s">
        <v>93</v>
      </c>
    </row>
    <row r="3633" spans="1:97" ht="14.25" customHeight="1" x14ac:dyDescent="0.3">
      <c r="A3633" s="1" t="s">
        <v>3774</v>
      </c>
      <c r="B3633" s="1" t="str">
        <f ca="1">IFERROR(__xludf.DUMMYFUNCTION("GOOGLETRANSLATE(A3633, ""en"", ""fr"")"),"pouvoir d'achat du dollar")</f>
        <v>pouvoir d'achat du dollar</v>
      </c>
      <c r="M3633" s="1" t="s">
        <v>10</v>
      </c>
    </row>
    <row r="3634" spans="1:97" ht="14.25" customHeight="1" x14ac:dyDescent="0.3">
      <c r="A3634" s="1" t="s">
        <v>3775</v>
      </c>
      <c r="B3634" s="1" t="str">
        <f ca="1">IFERROR(__xludf.DUMMYFUNCTION("GOOGLETRANSLATE(A3634, ""en"", ""fr"")"),"concurrence pure")</f>
        <v>concurrence pure</v>
      </c>
      <c r="M3634" s="1" t="s">
        <v>10</v>
      </c>
    </row>
    <row r="3635" spans="1:97" ht="14.25" customHeight="1" x14ac:dyDescent="0.3">
      <c r="A3635" s="1" t="s">
        <v>3776</v>
      </c>
      <c r="B3635" s="1" t="str">
        <f ca="1">IFERROR(__xludf.DUMMYFUNCTION("GOOGLETRANSLATE(A3635, ""en"", ""fr"")"),"PORTÉE")</f>
        <v>PORTÉE</v>
      </c>
      <c r="D3635" s="1" t="s">
        <v>4963</v>
      </c>
    </row>
    <row r="3636" spans="1:97" ht="14.25" customHeight="1" x14ac:dyDescent="0.3">
      <c r="A3636" s="1" t="s">
        <v>3777</v>
      </c>
      <c r="B3636" s="1" t="str">
        <f ca="1">IFERROR(__xludf.DUMMYFUNCTION("GOOGLETRANSLATE(A3636, ""en"", ""fr"")"),"Prétendu")</f>
        <v>Prétendu</v>
      </c>
      <c r="D3636" s="1" t="s">
        <v>4963</v>
      </c>
    </row>
    <row r="3637" spans="1:97" ht="14.25" customHeight="1" x14ac:dyDescent="0.3">
      <c r="A3637" s="1" t="s">
        <v>3778</v>
      </c>
      <c r="B3637" s="1" t="str">
        <f ca="1">IFERROR(__xludf.DUMMYFUNCTION("GOOGLETRANSLATE(A3637, ""en"", ""fr"")"),"Prétendument")</f>
        <v>Prétendument</v>
      </c>
      <c r="D3637" s="1" t="s">
        <v>4963</v>
      </c>
    </row>
    <row r="3638" spans="1:97" ht="14.25" customHeight="1" x14ac:dyDescent="0.3">
      <c r="A3638" s="1" t="s">
        <v>3779</v>
      </c>
      <c r="B3638" s="1" t="str">
        <f ca="1">IFERROR(__xludf.DUMMYFUNCTION("GOOGLETRANSLATE(A3638, ""en"", ""fr"")"),"Prétendu")</f>
        <v>Prétendu</v>
      </c>
      <c r="D3638" s="1" t="s">
        <v>4963</v>
      </c>
    </row>
    <row r="3639" spans="1:97" ht="14.25" customHeight="1" x14ac:dyDescent="0.3">
      <c r="A3639" s="1" t="s">
        <v>3780</v>
      </c>
      <c r="B3639" s="1" t="str">
        <f ca="1">IFERROR(__xludf.DUMMYFUNCTION("GOOGLETRANSLATE(A3639, ""en"", ""fr"")"),"Prétentions")</f>
        <v>Prétentions</v>
      </c>
      <c r="D3639" s="1" t="s">
        <v>4963</v>
      </c>
    </row>
    <row r="3640" spans="1:97" ht="14.25" customHeight="1" x14ac:dyDescent="0.3">
      <c r="A3640" s="1" t="s">
        <v>3781</v>
      </c>
      <c r="B3640" s="1" t="str">
        <f ca="1">IFERROR(__xludf.DUMMYFUNCTION("GOOGLETRANSLATE(A3640, ""en"", ""fr"")"),"mettre")</f>
        <v>mettre</v>
      </c>
      <c r="J3640" s="1" t="s">
        <v>7</v>
      </c>
    </row>
    <row r="3641" spans="1:97" ht="14.25" customHeight="1" x14ac:dyDescent="0.3">
      <c r="A3641" s="1" t="s">
        <v>3782</v>
      </c>
      <c r="B3641" s="1" t="str">
        <f ca="1">IFERROR(__xludf.DUMMYFUNCTION("GOOGLETRANSLATE(A3641, ""en"", ""fr"")"),"Poser l'option")</f>
        <v>Poser l'option</v>
      </c>
      <c r="Q3641" s="1" t="s">
        <v>14</v>
      </c>
    </row>
    <row r="3642" spans="1:97" ht="14.25" customHeight="1" x14ac:dyDescent="0.3">
      <c r="A3642" s="1" t="s">
        <v>3783</v>
      </c>
      <c r="B3642" s="1" t="str">
        <f ca="1">IFERROR(__xludf.DUMMYFUNCTION("GOOGLETRANSLATE(A3642, ""en"", ""fr"")"),"en mettant")</f>
        <v>en mettant</v>
      </c>
      <c r="J3642" s="1" t="s">
        <v>7</v>
      </c>
    </row>
    <row r="3643" spans="1:97" ht="14.25" customHeight="1" x14ac:dyDescent="0.3">
      <c r="A3643" s="1" t="s">
        <v>3784</v>
      </c>
      <c r="B3643" s="1" t="str">
        <f ca="1">IFERROR(__xludf.DUMMYFUNCTION("GOOGLETRANSLATE(A3643, ""en"", ""fr"")"),"Qatar Marine")</f>
        <v>Qatar Marine</v>
      </c>
      <c r="R3643" s="1" t="s">
        <v>15</v>
      </c>
      <c r="CS3643" s="1" t="s">
        <v>94</v>
      </c>
    </row>
    <row r="3644" spans="1:97" ht="14.25" customHeight="1" x14ac:dyDescent="0.3">
      <c r="A3644" s="1" t="s">
        <v>3785</v>
      </c>
      <c r="B3644" s="1" t="str">
        <f ca="1">IFERROR(__xludf.DUMMYFUNCTION("GOOGLETRANSLATE(A3644, ""en"", ""fr"")"),"Qua iboe")</f>
        <v>Qua iboe</v>
      </c>
      <c r="R3644" s="1" t="s">
        <v>15</v>
      </c>
      <c r="CS3644" s="1" t="s">
        <v>94</v>
      </c>
    </row>
    <row r="3645" spans="1:97" ht="14.25" customHeight="1" x14ac:dyDescent="0.3">
      <c r="A3645" s="1" t="s">
        <v>3786</v>
      </c>
      <c r="B3645" s="1" t="str">
        <f ca="1">IFERROR(__xludf.DUMMYFUNCTION("GOOGLETRANSLATE(A3645, ""en"", ""fr"")"),"la quantité demandée")</f>
        <v>la quantité demandée</v>
      </c>
      <c r="M3645" s="1" t="s">
        <v>10</v>
      </c>
    </row>
    <row r="3646" spans="1:97" ht="14.25" customHeight="1" x14ac:dyDescent="0.3">
      <c r="A3646" s="1" t="s">
        <v>3787</v>
      </c>
      <c r="B3646" s="1" t="str">
        <f ca="1">IFERROR(__xludf.DUMMYFUNCTION("GOOGLETRANSLATE(A3646, ""en"", ""fr"")"),"QUESTION")</f>
        <v>QUESTION</v>
      </c>
      <c r="D3646" s="1" t="s">
        <v>4963</v>
      </c>
    </row>
    <row r="3647" spans="1:97" ht="14.25" customHeight="1" x14ac:dyDescent="0.3">
      <c r="A3647" s="1" t="s">
        <v>3788</v>
      </c>
      <c r="B3647" s="1" t="str">
        <f ca="1">IFERROR(__xludf.DUMMYFUNCTION("GOOGLETRANSLATE(A3647, ""en"", ""fr"")"),"DISCUTABLE")</f>
        <v>DISCUTABLE</v>
      </c>
      <c r="D3647" s="1" t="s">
        <v>4963</v>
      </c>
    </row>
    <row r="3648" spans="1:97" ht="14.25" customHeight="1" x14ac:dyDescent="0.3">
      <c r="A3648" s="1" t="s">
        <v>3789</v>
      </c>
      <c r="B3648" s="1" t="str">
        <f ca="1">IFERROR(__xludf.DUMMYFUNCTION("GOOGLETRANSLATE(A3648, ""en"", ""fr"")"),"Douteux")</f>
        <v>Douteux</v>
      </c>
      <c r="D3648" s="1" t="s">
        <v>4963</v>
      </c>
    </row>
    <row r="3649" spans="1:132" ht="14.25" customHeight="1" x14ac:dyDescent="0.3">
      <c r="A3649" s="1" t="s">
        <v>3790</v>
      </c>
      <c r="B3649" s="1" t="str">
        <f ca="1">IFERROR(__xludf.DUMMYFUNCTION("GOOGLETRANSLATE(A3649, ""en"", ""fr"")"),"INTERROGÉ")</f>
        <v>INTERROGÉ</v>
      </c>
      <c r="D3649" s="1" t="s">
        <v>4963</v>
      </c>
    </row>
    <row r="3650" spans="1:132" ht="14.25" customHeight="1" x14ac:dyDescent="0.3">
      <c r="A3650" s="1" t="s">
        <v>3791</v>
      </c>
      <c r="B3650" s="1" t="str">
        <f ca="1">IFERROR(__xludf.DUMMYFUNCTION("GOOGLETRANSLATE(A3650, ""en"", ""fr"")"),"INTERROGATOIRE")</f>
        <v>INTERROGATOIRE</v>
      </c>
      <c r="D3650" s="1" t="s">
        <v>4963</v>
      </c>
    </row>
    <row r="3651" spans="1:132" ht="14.25" customHeight="1" x14ac:dyDescent="0.3">
      <c r="A3651" s="1" t="s">
        <v>3792</v>
      </c>
      <c r="B3651" s="1" t="str">
        <f ca="1">IFERROR(__xludf.DUMMYFUNCTION("GOOGLETRANSLATE(A3651, ""en"", ""fr"")"),"DES QUESTIONS")</f>
        <v>DES QUESTIONS</v>
      </c>
      <c r="D3651" s="1" t="s">
        <v>4963</v>
      </c>
    </row>
    <row r="3652" spans="1:132" ht="14.25" customHeight="1" x14ac:dyDescent="0.3">
      <c r="A3652" s="1" t="s">
        <v>3793</v>
      </c>
      <c r="B3652" s="1" t="str">
        <f ca="1">IFERROR(__xludf.DUMMYFUNCTION("GOOGLETRANSLATE(A3652, ""en"", ""fr"")"),"rapport rapide")</f>
        <v>rapport rapide</v>
      </c>
      <c r="CR3652" s="1" t="s">
        <v>93</v>
      </c>
    </row>
    <row r="3653" spans="1:132" ht="14.25" customHeight="1" x14ac:dyDescent="0.3">
      <c r="A3653" s="1" t="s">
        <v>3794</v>
      </c>
      <c r="B3653" s="1" t="str">
        <f ca="1">IFERROR(__xludf.DUMMYFUNCTION("GOOGLETRANSLATE(A3653, ""en"", ""fr"")"),"QUITTER")</f>
        <v>QUITTER</v>
      </c>
      <c r="D3653" s="1" t="s">
        <v>4963</v>
      </c>
    </row>
    <row r="3654" spans="1:132" ht="14.25" customHeight="1" x14ac:dyDescent="0.3">
      <c r="A3654" s="1" t="s">
        <v>3795</v>
      </c>
      <c r="B3654" s="1" t="str">
        <f ca="1">IFERROR(__xludf.DUMMYFUNCTION("GOOGLETRANSLATE(A3654, ""en"", ""fr"")"),"assez")</f>
        <v>assez</v>
      </c>
      <c r="J3654" s="1" t="s">
        <v>7</v>
      </c>
    </row>
    <row r="3655" spans="1:132" ht="14.25" customHeight="1" x14ac:dyDescent="0.3">
      <c r="A3655" s="1" t="s">
        <v>3796</v>
      </c>
      <c r="B3655" s="1" t="str">
        <f ca="1">IFERROR(__xludf.DUMMYFUNCTION("GOOGLETRANSLATE(A3655, ""en"", ""fr"")"),"EN QUITTANT")</f>
        <v>EN QUITTANT</v>
      </c>
      <c r="D3655" s="1" t="s">
        <v>4963</v>
      </c>
    </row>
    <row r="3656" spans="1:132" ht="14.25" customHeight="1" x14ac:dyDescent="0.3">
      <c r="A3656" s="1" t="s">
        <v>3797</v>
      </c>
      <c r="B3656" s="1" t="str">
        <f ca="1">IFERROR(__xludf.DUMMYFUNCTION("GOOGLETRANSLATE(A3656, ""en"", ""fr"")"),"CITATION TERMES AMÉRICAINES")</f>
        <v>CITATION TERMES AMÉRICAINES</v>
      </c>
      <c r="M3656" s="1" t="s">
        <v>10</v>
      </c>
    </row>
    <row r="3657" spans="1:132" ht="14.25" customHeight="1" x14ac:dyDescent="0.3">
      <c r="A3657" s="1" t="s">
        <v>3798</v>
      </c>
      <c r="B3657" s="1" t="str">
        <f ca="1">IFERROR(__xludf.DUMMYFUNCTION("GOOGLETRANSLATE(A3657, ""en"", ""fr"")"),"CITATION Termes européens")</f>
        <v>CITATION Termes européens</v>
      </c>
      <c r="M3657" s="1" t="s">
        <v>10</v>
      </c>
    </row>
    <row r="3658" spans="1:132" ht="14.25" customHeight="1" x14ac:dyDescent="0.3">
      <c r="A3658" s="1" t="s">
        <v>3799</v>
      </c>
      <c r="B3658" s="1" t="str">
        <f ca="1">IFERROR(__xludf.DUMMYFUNCTION("GOOGLETRANSLATE(A3658, ""en"", ""fr"")"),"R&amp;D")</f>
        <v>R&amp;D</v>
      </c>
      <c r="M3658" s="1" t="s">
        <v>10</v>
      </c>
    </row>
    <row r="3659" spans="1:132" ht="14.25" customHeight="1" x14ac:dyDescent="0.3">
      <c r="A3659" s="1" t="s">
        <v>3800</v>
      </c>
      <c r="B3659" s="1" t="str">
        <f ca="1">IFERROR(__xludf.DUMMYFUNCTION("GOOGLETRANSLATE(A3659, ""en"", ""fr"")"),"Rabi")</f>
        <v>Rabi</v>
      </c>
      <c r="R3659" s="1" t="s">
        <v>15</v>
      </c>
      <c r="CS3659" s="1" t="s">
        <v>94</v>
      </c>
    </row>
    <row r="3660" spans="1:132" ht="14.25" customHeight="1" x14ac:dyDescent="0.3">
      <c r="A3660" s="1" t="s">
        <v>3801</v>
      </c>
      <c r="B3660" s="1" t="str">
        <f ca="1">IFERROR(__xludf.DUMMYFUNCTION("GOOGLETRANSLATE(A3660, ""en"", ""fr"")"),"raffinerie")</f>
        <v>raffinerie</v>
      </c>
      <c r="BF3660" s="1" t="s">
        <v>55</v>
      </c>
      <c r="BM3660" s="1" t="s">
        <v>62</v>
      </c>
      <c r="CL3660" s="1" t="s">
        <v>87</v>
      </c>
      <c r="CX3660" s="1" t="s">
        <v>99</v>
      </c>
      <c r="EB3660" s="1" t="s">
        <v>129</v>
      </c>
    </row>
    <row r="3661" spans="1:132" ht="14.25" customHeight="1" x14ac:dyDescent="0.3">
      <c r="A3661" s="1" t="s">
        <v>3802</v>
      </c>
      <c r="B3661" s="1" t="str">
        <f ca="1">IFERROR(__xludf.DUMMYFUNCTION("GOOGLETRANSLATE(A3661, ""en"", ""fr"")"),"RACKETTEUR")</f>
        <v>RACKETTEUR</v>
      </c>
      <c r="D3661" s="1" t="s">
        <v>4963</v>
      </c>
    </row>
    <row r="3662" spans="1:132" ht="14.25" customHeight="1" x14ac:dyDescent="0.3">
      <c r="A3662" s="1" t="s">
        <v>3803</v>
      </c>
      <c r="B3662" s="1" t="str">
        <f ca="1">IFERROR(__xludf.DUMMYFUNCTION("GOOGLETRANSLATE(A3662, ""en"", ""fr"")"),"RACKET")</f>
        <v>RACKET</v>
      </c>
      <c r="D3662" s="1" t="s">
        <v>4963</v>
      </c>
    </row>
    <row r="3663" spans="1:132" ht="14.25" customHeight="1" x14ac:dyDescent="0.3">
      <c r="A3663" s="1" t="s">
        <v>3804</v>
      </c>
      <c r="B3663" s="1" t="str">
        <f ca="1">IFERROR(__xludf.DUMMYFUNCTION("GOOGLETRANSLATE(A3663, ""en"", ""fr"")"),"Rang Dong")</f>
        <v>Rang Dong</v>
      </c>
      <c r="R3663" s="1" t="s">
        <v>15</v>
      </c>
      <c r="CS3663" s="1" t="s">
        <v>94</v>
      </c>
    </row>
    <row r="3664" spans="1:132" ht="14.25" customHeight="1" x14ac:dyDescent="0.3">
      <c r="A3664" s="1" t="s">
        <v>3805</v>
      </c>
      <c r="B3664" s="1" t="str">
        <f ca="1">IFERROR(__xludf.DUMMYFUNCTION("GOOGLETRANSLATE(A3664, ""en"", ""fr"")"),"raffinerie Ras Lanuf")</f>
        <v>raffinerie Ras Lanuf</v>
      </c>
      <c r="K3664" s="1" t="s">
        <v>8</v>
      </c>
      <c r="BF3664" s="1" t="s">
        <v>55</v>
      </c>
      <c r="CL3664" s="1" t="s">
        <v>87</v>
      </c>
      <c r="CW3664" s="1" t="s">
        <v>98</v>
      </c>
      <c r="DJ3664" s="1" t="s">
        <v>111</v>
      </c>
    </row>
    <row r="3665" spans="1:127" ht="14.25" customHeight="1" x14ac:dyDescent="0.3">
      <c r="A3665" s="1" t="s">
        <v>3806</v>
      </c>
      <c r="B3665" s="1" t="str">
        <f ca="1">IFERROR(__xludf.DUMMYFUNCTION("GOOGLETRANSLATE(A3665, ""en"", ""fr"")"),"raffinerie Ras Tanura")</f>
        <v>raffinerie Ras Tanura</v>
      </c>
      <c r="BF3665" s="1" t="s">
        <v>55</v>
      </c>
      <c r="BM3665" s="1" t="s">
        <v>62</v>
      </c>
      <c r="CL3665" s="1" t="s">
        <v>87</v>
      </c>
      <c r="CX3665" s="1" t="s">
        <v>99</v>
      </c>
      <c r="DB3665" s="1" t="s">
        <v>103</v>
      </c>
    </row>
    <row r="3666" spans="1:127" ht="14.25" customHeight="1" x14ac:dyDescent="0.3">
      <c r="A3666" s="1" t="s">
        <v>3807</v>
      </c>
      <c r="B3666" s="1" t="str">
        <f ca="1">IFERROR(__xludf.DUMMYFUNCTION("GOOGLETRANSLATE(A3666, ""en"", ""fr"")"),"Frais de demande à cliquet")</f>
        <v>Frais de demande à cliquet</v>
      </c>
      <c r="CR3666" s="1" t="s">
        <v>93</v>
      </c>
      <c r="CS3666" s="1" t="s">
        <v>94</v>
      </c>
    </row>
    <row r="3667" spans="1:127" ht="14.25" customHeight="1" x14ac:dyDescent="0.3">
      <c r="A3667" s="1" t="s">
        <v>3808</v>
      </c>
      <c r="B3667" s="1" t="str">
        <f ca="1">IFERROR(__xludf.DUMMYFUNCTION("GOOGLETRANSLATE(A3667, ""en"", ""fr"")"),"RATIONALISATION")</f>
        <v>RATIONALISATION</v>
      </c>
      <c r="D3667" s="1" t="s">
        <v>4963</v>
      </c>
    </row>
    <row r="3668" spans="1:127" ht="14.25" customHeight="1" x14ac:dyDescent="0.3">
      <c r="A3668" s="1" t="s">
        <v>3809</v>
      </c>
      <c r="B3668" s="1" t="str">
        <f ca="1">IFERROR(__xludf.DUMMYFUNCTION("GOOGLETRANSLATE(A3668, ""en"", ""fr"")"),"Rationalisations")</f>
        <v>Rationalisations</v>
      </c>
      <c r="D3668" s="1" t="s">
        <v>4963</v>
      </c>
    </row>
    <row r="3669" spans="1:127" ht="14.25" customHeight="1" x14ac:dyDescent="0.3">
      <c r="A3669" s="1" t="s">
        <v>3810</v>
      </c>
      <c r="B3669" s="1" t="str">
        <f ca="1">IFERROR(__xludf.DUMMYFUNCTION("GOOGLETRANSLATE(A3669, ""en"", ""fr"")"),"RATIONALISER")</f>
        <v>RATIONALISER</v>
      </c>
      <c r="D3669" s="1" t="s">
        <v>4963</v>
      </c>
    </row>
    <row r="3670" spans="1:127" ht="14.25" customHeight="1" x14ac:dyDescent="0.3">
      <c r="A3670" s="1" t="s">
        <v>3811</v>
      </c>
      <c r="B3670" s="1" t="str">
        <f ca="1">IFERROR(__xludf.DUMMYFUNCTION("GOOGLETRANSLATE(A3670, ""en"", ""fr"")"),"Rationalisé")</f>
        <v>Rationalisé</v>
      </c>
      <c r="D3670" s="1" t="s">
        <v>4963</v>
      </c>
    </row>
    <row r="3671" spans="1:127" ht="14.25" customHeight="1" x14ac:dyDescent="0.3">
      <c r="A3671" s="1" t="s">
        <v>3812</v>
      </c>
      <c r="B3671" s="1" t="str">
        <f ca="1">IFERROR(__xludf.DUMMYFUNCTION("GOOGLETRANSLATE(A3671, ""en"", ""fr"")"),"Rationaliser")</f>
        <v>Rationaliser</v>
      </c>
      <c r="D3671" s="1" t="s">
        <v>4963</v>
      </c>
    </row>
    <row r="3672" spans="1:127" ht="14.25" customHeight="1" x14ac:dyDescent="0.3">
      <c r="A3672" s="1" t="s">
        <v>3813</v>
      </c>
      <c r="B3672" s="1" t="str">
        <f ca="1">IFERROR(__xludf.DUMMYFUNCTION("GOOGLETRANSLATE(A3672, ""en"", ""fr"")"),"Rationalisation")</f>
        <v>Rationalisation</v>
      </c>
      <c r="D3672" s="1" t="s">
        <v>4963</v>
      </c>
    </row>
    <row r="3673" spans="1:127" ht="14.25" customHeight="1" x14ac:dyDescent="0.3">
      <c r="A3673" s="1" t="s">
        <v>3814</v>
      </c>
      <c r="B3673" s="1" t="str">
        <f ca="1">IFERROR(__xludf.DUMMYFUNCTION("GOOGLETRANSLATE(A3673, ""en"", ""fr"")"),"ruside")</f>
        <v>ruside</v>
      </c>
      <c r="AU3673" s="1" t="s">
        <v>44</v>
      </c>
      <c r="BS3673" s="1" t="s">
        <v>68</v>
      </c>
      <c r="DD3673" s="1" t="s">
        <v>105</v>
      </c>
      <c r="DW3673" s="1" t="s">
        <v>124</v>
      </c>
    </row>
    <row r="3674" spans="1:127" ht="14.25" customHeight="1" x14ac:dyDescent="0.3">
      <c r="A3674" s="1" t="s">
        <v>3815</v>
      </c>
      <c r="B3674" s="1" t="str">
        <f ca="1">IFERROR(__xludf.DUMMYFUNCTION("GOOGLETRANSLATE(A3674, ""en"", ""fr"")"),"matières premières")</f>
        <v>matières premières</v>
      </c>
      <c r="CR3674" s="1" t="s">
        <v>93</v>
      </c>
    </row>
    <row r="3675" spans="1:127" ht="14.25" customHeight="1" x14ac:dyDescent="0.3">
      <c r="A3675" s="1" t="s">
        <v>3816</v>
      </c>
      <c r="B3675" s="1" t="str">
        <f ca="1">IFERROR(__xludf.DUMMYFUNCTION("GOOGLETRANSLATE(A3675, ""en"", ""fr"")"),"Reaganomics")</f>
        <v>Reaganomics</v>
      </c>
      <c r="M3675" s="1" t="s">
        <v>10</v>
      </c>
    </row>
    <row r="3676" spans="1:127" ht="14.25" customHeight="1" x14ac:dyDescent="0.3">
      <c r="A3676" s="1" t="s">
        <v>3817</v>
      </c>
      <c r="B3676" s="1" t="str">
        <f ca="1">IFERROR(__xludf.DUMMYFUNCTION("GOOGLETRANSLATE(A3676, ""en"", ""fr"")"),"taux de croissance économique réel")</f>
        <v>taux de croissance économique réel</v>
      </c>
      <c r="M3676" s="1" t="s">
        <v>10</v>
      </c>
    </row>
    <row r="3677" spans="1:127" ht="14.25" customHeight="1" x14ac:dyDescent="0.3">
      <c r="A3677" s="1" t="s">
        <v>3818</v>
      </c>
      <c r="B3677" s="1" t="str">
        <f ca="1">IFERROR(__xludf.DUMMYFUNCTION("GOOGLETRANSLATE(A3677, ""en"", ""fr"")"),"gain ou perte réel")</f>
        <v>gain ou perte réel</v>
      </c>
      <c r="M3677" s="1" t="s">
        <v>10</v>
      </c>
    </row>
    <row r="3678" spans="1:127" ht="14.25" customHeight="1" x14ac:dyDescent="0.3">
      <c r="A3678" s="1" t="s">
        <v>3819</v>
      </c>
      <c r="B3678" s="1" t="str">
        <f ca="1">IFERROR(__xludf.DUMMYFUNCTION("GOOGLETRANSLATE(A3678, ""en"", ""fr"")"),"PIB réel")</f>
        <v>PIB réel</v>
      </c>
      <c r="M3678" s="1" t="s">
        <v>10</v>
      </c>
    </row>
    <row r="3679" spans="1:127" ht="14.25" customHeight="1" x14ac:dyDescent="0.3">
      <c r="A3679" s="1" t="s">
        <v>3820</v>
      </c>
      <c r="B3679" s="1" t="str">
        <f ca="1">IFERROR(__xludf.DUMMYFUNCTION("GOOGLETRANSLATE(A3679, ""en"", ""fr"")"),"Réévaluation")</f>
        <v>Réévaluation</v>
      </c>
      <c r="D3679" s="1" t="s">
        <v>4963</v>
      </c>
    </row>
    <row r="3680" spans="1:127" ht="14.25" customHeight="1" x14ac:dyDescent="0.3">
      <c r="A3680" s="1" t="s">
        <v>3821</v>
      </c>
      <c r="B3680" s="1" t="str">
        <f ca="1">IFERROR(__xludf.DUMMYFUNCTION("GOOGLETRANSLATE(A3680, ""en"", ""fr"")"),"Réévaluation")</f>
        <v>Réévaluation</v>
      </c>
      <c r="D3680" s="1" t="s">
        <v>4963</v>
      </c>
    </row>
    <row r="3681" spans="1:97" ht="14.25" customHeight="1" x14ac:dyDescent="0.3">
      <c r="A3681" s="1" t="s">
        <v>3822</v>
      </c>
      <c r="B3681" s="1" t="str">
        <f ca="1">IFERROR(__xludf.DUMMYFUNCTION("GOOGLETRANSLATE(A3681, ""en"", ""fr"")"),"Réaffecter")</f>
        <v>Réaffecter</v>
      </c>
      <c r="D3681" s="1" t="s">
        <v>4963</v>
      </c>
    </row>
    <row r="3682" spans="1:97" ht="14.25" customHeight="1" x14ac:dyDescent="0.3">
      <c r="A3682" s="1" t="s">
        <v>3823</v>
      </c>
      <c r="B3682" s="1" t="str">
        <f ca="1">IFERROR(__xludf.DUMMYFUNCTION("GOOGLETRANSLATE(A3682, ""en"", ""fr"")"),"Réaffecté")</f>
        <v>Réaffecté</v>
      </c>
      <c r="D3682" s="1" t="s">
        <v>4963</v>
      </c>
    </row>
    <row r="3683" spans="1:97" ht="14.25" customHeight="1" x14ac:dyDescent="0.3">
      <c r="A3683" s="1" t="s">
        <v>3824</v>
      </c>
      <c r="B3683" s="1" t="str">
        <f ca="1">IFERROR(__xludf.DUMMYFUNCTION("GOOGLETRANSLATE(A3683, ""en"", ""fr"")"),"Réaffectation")</f>
        <v>Réaffectation</v>
      </c>
      <c r="D3683" s="1" t="s">
        <v>4963</v>
      </c>
    </row>
    <row r="3684" spans="1:97" ht="14.25" customHeight="1" x14ac:dyDescent="0.3">
      <c r="A3684" s="1" t="s">
        <v>3825</v>
      </c>
      <c r="B3684" s="1" t="str">
        <f ca="1">IFERROR(__xludf.DUMMYFUNCTION("GOOGLETRANSLATE(A3684, ""en"", ""fr"")"),"Réaffectation")</f>
        <v>Réaffectation</v>
      </c>
      <c r="D3684" s="1" t="s">
        <v>4963</v>
      </c>
    </row>
    <row r="3685" spans="1:97" ht="14.25" customHeight="1" x14ac:dyDescent="0.3">
      <c r="A3685" s="1" t="s">
        <v>3826</v>
      </c>
      <c r="B3685" s="1" t="str">
        <f ca="1">IFERROR(__xludf.DUMMYFUNCTION("GOOGLETRANSLATE(A3685, ""en"", ""fr"")"),"Réaffectation")</f>
        <v>Réaffectation</v>
      </c>
      <c r="D3685" s="1" t="s">
        <v>4963</v>
      </c>
    </row>
    <row r="3686" spans="1:97" ht="14.25" customHeight="1" x14ac:dyDescent="0.3">
      <c r="A3686" s="1" t="s">
        <v>3827</v>
      </c>
      <c r="B3686" s="1" t="str">
        <f ca="1">IFERROR(__xludf.DUMMYFUNCTION("GOOGLETRANSLATE(A3686, ""en"", ""fr"")"),"Réaffectation")</f>
        <v>Réaffectation</v>
      </c>
      <c r="D3686" s="1" t="s">
        <v>4963</v>
      </c>
    </row>
    <row r="3687" spans="1:97" ht="14.25" customHeight="1" x14ac:dyDescent="0.3">
      <c r="A3687" s="1" t="s">
        <v>3828</v>
      </c>
      <c r="B3687" s="1" t="str">
        <f ca="1">IFERROR(__xludf.DUMMYFUNCTION("GOOGLETRANSLATE(A3687, ""en"", ""fr"")"),"repaire")</f>
        <v>repaire</v>
      </c>
      <c r="CS3687" s="1" t="s">
        <v>94</v>
      </c>
    </row>
    <row r="3688" spans="1:97" ht="14.25" customHeight="1" x14ac:dyDescent="0.3">
      <c r="A3688" s="1" t="s">
        <v>3829</v>
      </c>
      <c r="B3688" s="1" t="str">
        <f ca="1">IFERROR(__xludf.DUMMYFUNCTION("GOOGLETRANSLATE(A3688, ""en"", ""fr"")"),"REBOND")</f>
        <v>REBOND</v>
      </c>
      <c r="H3688" s="1" t="s">
        <v>4964</v>
      </c>
    </row>
    <row r="3689" spans="1:97" ht="14.25" customHeight="1" x14ac:dyDescent="0.3">
      <c r="A3689" s="1" t="s">
        <v>3830</v>
      </c>
      <c r="B3689" s="1" t="str">
        <f ca="1">IFERROR(__xludf.DUMMYFUNCTION("GOOGLETRANSLATE(A3689, ""en"", ""fr"")"),"Rebondé")</f>
        <v>Rebondé</v>
      </c>
      <c r="H3689" s="1" t="s">
        <v>4964</v>
      </c>
    </row>
    <row r="3690" spans="1:97" ht="14.25" customHeight="1" x14ac:dyDescent="0.3">
      <c r="A3690" s="1" t="s">
        <v>3831</v>
      </c>
      <c r="B3690" s="1" t="str">
        <f ca="1">IFERROR(__xludf.DUMMYFUNCTION("GOOGLETRANSLATE(A3690, ""en"", ""fr"")"),"Rebond")</f>
        <v>Rebond</v>
      </c>
      <c r="H3690" s="1" t="s">
        <v>4964</v>
      </c>
    </row>
    <row r="3691" spans="1:97" ht="14.25" customHeight="1" x14ac:dyDescent="0.3">
      <c r="A3691" s="1" t="s">
        <v>3832</v>
      </c>
      <c r="B3691" s="1" t="str">
        <f ca="1">IFERROR(__xludf.DUMMYFUNCTION("GOOGLETRANSLATE(A3691, ""en"", ""fr"")"),"RAPPEL")</f>
        <v>RAPPEL</v>
      </c>
      <c r="D3691" s="1" t="s">
        <v>4963</v>
      </c>
    </row>
    <row r="3692" spans="1:97" ht="14.25" customHeight="1" x14ac:dyDescent="0.3">
      <c r="A3692" s="1" t="s">
        <v>3833</v>
      </c>
      <c r="B3692" s="1" t="str">
        <f ca="1">IFERROR(__xludf.DUMMYFUNCTION("GOOGLETRANSLATE(A3692, ""en"", ""fr"")"),"Rappelé")</f>
        <v>Rappelé</v>
      </c>
      <c r="D3692" s="1" t="s">
        <v>4963</v>
      </c>
    </row>
    <row r="3693" spans="1:97" ht="14.25" customHeight="1" x14ac:dyDescent="0.3">
      <c r="A3693" s="1" t="s">
        <v>3834</v>
      </c>
      <c r="B3693" s="1" t="str">
        <f ca="1">IFERROR(__xludf.DUMMYFUNCTION("GOOGLETRANSLATE(A3693, ""en"", ""fr"")"),"RAPPEL")</f>
        <v>RAPPEL</v>
      </c>
      <c r="D3693" s="1" t="s">
        <v>4963</v>
      </c>
    </row>
    <row r="3694" spans="1:97" ht="14.25" customHeight="1" x14ac:dyDescent="0.3">
      <c r="A3694" s="1" t="s">
        <v>3835</v>
      </c>
      <c r="B3694" s="1" t="str">
        <f ca="1">IFERROR(__xludf.DUMMYFUNCTION("GOOGLETRANSLATE(A3694, ""en"", ""fr"")"),"Rappel")</f>
        <v>Rappel</v>
      </c>
      <c r="D3694" s="1" t="s">
        <v>4963</v>
      </c>
    </row>
    <row r="3695" spans="1:97" ht="14.25" customHeight="1" x14ac:dyDescent="0.3">
      <c r="A3695" s="1" t="s">
        <v>3836</v>
      </c>
      <c r="B3695" s="1" t="str">
        <f ca="1">IFERROR(__xludf.DUMMYFUNCTION("GOOGLETRANSLATE(A3695, ""en"", ""fr"")"),"créances")</f>
        <v>créances</v>
      </c>
      <c r="CR3695" s="1" t="s">
        <v>93</v>
      </c>
    </row>
    <row r="3696" spans="1:97" ht="14.25" customHeight="1" x14ac:dyDescent="0.3">
      <c r="A3696" s="1" t="s">
        <v>3837</v>
      </c>
      <c r="B3696" s="1" t="str">
        <f ca="1">IFERROR(__xludf.DUMMYFUNCTION("GOOGLETRANSLATE(A3696, ""en"", ""fr"")"),"RÉCEPTIF")</f>
        <v>RÉCEPTIF</v>
      </c>
      <c r="H3696" s="1" t="s">
        <v>4964</v>
      </c>
    </row>
    <row r="3697" spans="1:13" ht="14.25" customHeight="1" x14ac:dyDescent="0.3">
      <c r="A3697" s="1" t="s">
        <v>3838</v>
      </c>
      <c r="B3697" s="1" t="str">
        <f ca="1">IFERROR(__xludf.DUMMYFUNCTION("GOOGLETRANSLATE(A3697, ""en"", ""fr"")"),"récession")</f>
        <v>récession</v>
      </c>
      <c r="D3697" s="1" t="s">
        <v>4963</v>
      </c>
      <c r="M3697" s="1" t="s">
        <v>10</v>
      </c>
    </row>
    <row r="3698" spans="1:13" ht="14.25" customHeight="1" x14ac:dyDescent="0.3">
      <c r="A3698" s="1" t="s">
        <v>3839</v>
      </c>
      <c r="B3698" s="1" t="str">
        <f ca="1">IFERROR(__xludf.DUMMYFUNCTION("GOOGLETRANSLATE(A3698, ""en"", ""fr"")"),"résistant à la récession")</f>
        <v>résistant à la récession</v>
      </c>
      <c r="M3698" s="1" t="s">
        <v>10</v>
      </c>
    </row>
    <row r="3699" spans="1:13" ht="14.25" customHeight="1" x14ac:dyDescent="0.3">
      <c r="A3699" s="1" t="s">
        <v>3840</v>
      </c>
      <c r="B3699" s="1" t="str">
        <f ca="1">IFERROR(__xludf.DUMMYFUNCTION("GOOGLETRANSLATE(A3699, ""en"", ""fr"")"),"Récession")</f>
        <v>Récession</v>
      </c>
      <c r="D3699" s="1" t="s">
        <v>4963</v>
      </c>
    </row>
    <row r="3700" spans="1:13" ht="14.25" customHeight="1" x14ac:dyDescent="0.3">
      <c r="A3700" s="1" t="s">
        <v>3841</v>
      </c>
      <c r="B3700" s="1" t="str">
        <f ca="1">IFERROR(__xludf.DUMMYFUNCTION("GOOGLETRANSLATE(A3700, ""en"", ""fr"")"),"Récessions")</f>
        <v>Récessions</v>
      </c>
      <c r="D3700" s="1" t="s">
        <v>4963</v>
      </c>
    </row>
    <row r="3701" spans="1:13" ht="14.25" customHeight="1" x14ac:dyDescent="0.3">
      <c r="A3701" s="1" t="s">
        <v>3842</v>
      </c>
      <c r="B3701" s="1" t="str">
        <f ca="1">IFERROR(__xludf.DUMMYFUNCTION("GOOGLETRANSLATE(A3701, ""en"", ""fr"")"),"TÉMÉRAIRE")</f>
        <v>TÉMÉRAIRE</v>
      </c>
      <c r="D3701" s="1" t="s">
        <v>4963</v>
      </c>
    </row>
    <row r="3702" spans="1:13" ht="14.25" customHeight="1" x14ac:dyDescent="0.3">
      <c r="A3702" s="1" t="s">
        <v>3843</v>
      </c>
      <c r="B3702" s="1" t="str">
        <f ca="1">IFERROR(__xludf.DUMMYFUNCTION("GOOGLETRANSLATE(A3702, ""en"", ""fr"")"),"IMPRUDEMMENT")</f>
        <v>IMPRUDEMMENT</v>
      </c>
      <c r="D3702" s="1" t="s">
        <v>4963</v>
      </c>
    </row>
    <row r="3703" spans="1:13" ht="14.25" customHeight="1" x14ac:dyDescent="0.3">
      <c r="A3703" s="1" t="s">
        <v>3844</v>
      </c>
      <c r="B3703" s="1" t="str">
        <f ca="1">IFERROR(__xludf.DUMMYFUNCTION("GOOGLETRANSLATE(A3703, ""en"", ""fr"")"),"INSOUCIANCE")</f>
        <v>INSOUCIANCE</v>
      </c>
      <c r="D3703" s="1" t="s">
        <v>4963</v>
      </c>
    </row>
    <row r="3704" spans="1:13" ht="14.25" customHeight="1" x14ac:dyDescent="0.3">
      <c r="A3704" s="1" t="s">
        <v>3845</v>
      </c>
      <c r="B3704" s="1" t="str">
        <f ca="1">IFERROR(__xludf.DUMMYFUNCTION("GOOGLETRANSLATE(A3704, ""en"", ""fr"")"),"décalage de reconnaissance")</f>
        <v>décalage de reconnaissance</v>
      </c>
      <c r="M3704" s="1" t="s">
        <v>10</v>
      </c>
    </row>
    <row r="3705" spans="1:13" ht="14.25" customHeight="1" x14ac:dyDescent="0.3">
      <c r="A3705" s="1" t="s">
        <v>3846</v>
      </c>
      <c r="B3705" s="1" t="str">
        <f ca="1">IFERROR(__xludf.DUMMYFUNCTION("GOOGLETRANSLATE(A3705, ""en"", ""fr"")"),"récupération")</f>
        <v>récupération</v>
      </c>
      <c r="M3705" s="1" t="s">
        <v>10</v>
      </c>
    </row>
    <row r="3706" spans="1:13" ht="14.25" customHeight="1" x14ac:dyDescent="0.3">
      <c r="A3706" s="1" t="s">
        <v>3847</v>
      </c>
      <c r="B3706" s="1" t="str">
        <f ca="1">IFERROR(__xludf.DUMMYFUNCTION("GOOGLETRANSLATE(A3706, ""en"", ""fr"")"),"Facteur de récupération")</f>
        <v>Facteur de récupération</v>
      </c>
      <c r="E3706" s="1" t="s">
        <v>3</v>
      </c>
    </row>
    <row r="3707" spans="1:13" ht="14.25" customHeight="1" x14ac:dyDescent="0.3">
      <c r="A3707" s="1" t="s">
        <v>3848</v>
      </c>
      <c r="B3707" s="1" t="str">
        <f ca="1">IFERROR(__xludf.DUMMYFUNCTION("GOOGLETRANSLATE(A3707, ""en"", ""fr"")"),"RÉDIGER")</f>
        <v>RÉDIGER</v>
      </c>
      <c r="D3707" s="1" t="s">
        <v>4963</v>
      </c>
    </row>
    <row r="3708" spans="1:13" ht="14.25" customHeight="1" x14ac:dyDescent="0.3">
      <c r="A3708" s="1" t="s">
        <v>3849</v>
      </c>
      <c r="B3708" s="1" t="str">
        <f ca="1">IFERROR(__xludf.DUMMYFUNCTION("GOOGLETRANSLATE(A3708, ""en"", ""fr"")"),"Expurgé")</f>
        <v>Expurgé</v>
      </c>
      <c r="D3708" s="1" t="s">
        <v>4963</v>
      </c>
    </row>
    <row r="3709" spans="1:13" ht="14.25" customHeight="1" x14ac:dyDescent="0.3">
      <c r="A3709" s="1" t="s">
        <v>3850</v>
      </c>
      <c r="B3709" s="1" t="str">
        <f ca="1">IFERROR(__xludf.DUMMYFUNCTION("GOOGLETRANSLATE(A3709, ""en"", ""fr"")"),"Relâchant")</f>
        <v>Relâchant</v>
      </c>
      <c r="D3709" s="1" t="s">
        <v>4963</v>
      </c>
    </row>
    <row r="3710" spans="1:13" ht="14.25" customHeight="1" x14ac:dyDescent="0.3">
      <c r="A3710" s="1" t="s">
        <v>3851</v>
      </c>
      <c r="B3710" s="1" t="str">
        <f ca="1">IFERROR(__xludf.DUMMYFUNCTION("GOOGLETRANSLATE(A3710, ""en"", ""fr"")"),"RÉDACTION")</f>
        <v>RÉDACTION</v>
      </c>
      <c r="D3710" s="1" t="s">
        <v>4963</v>
      </c>
    </row>
    <row r="3711" spans="1:13" ht="14.25" customHeight="1" x14ac:dyDescent="0.3">
      <c r="A3711" s="1" t="s">
        <v>3852</v>
      </c>
      <c r="B3711" s="1" t="str">
        <f ca="1">IFERROR(__xludf.DUMMYFUNCTION("GOOGLETRANSLATE(A3711, ""en"", ""fr"")"),"Rédactions")</f>
        <v>Rédactions</v>
      </c>
      <c r="D3711" s="1" t="s">
        <v>4963</v>
      </c>
    </row>
    <row r="3712" spans="1:13" ht="14.25" customHeight="1" x14ac:dyDescent="0.3">
      <c r="A3712" s="1" t="s">
        <v>3853</v>
      </c>
      <c r="B3712" s="1" t="str">
        <f ca="1">IFERROR(__xludf.DUMMYFUNCTION("GOOGLETRANSLATE(A3712, ""en"", ""fr"")"),"Repette")</f>
        <v>Repette</v>
      </c>
      <c r="E3712" s="1" t="s">
        <v>3</v>
      </c>
    </row>
    <row r="3713" spans="1:142" ht="14.25" customHeight="1" x14ac:dyDescent="0.3">
      <c r="A3713" s="1" t="s">
        <v>3854</v>
      </c>
      <c r="B3713" s="1" t="str">
        <f ca="1">IFERROR(__xludf.DUMMYFUNCTION("GOOGLETRANSLATE(A3713, ""en"", ""fr"")"),"REDRESSER")</f>
        <v>REDRESSER</v>
      </c>
      <c r="D3713" s="1" t="s">
        <v>4963</v>
      </c>
    </row>
    <row r="3714" spans="1:142" ht="14.25" customHeight="1" x14ac:dyDescent="0.3">
      <c r="A3714" s="1" t="s">
        <v>3855</v>
      </c>
      <c r="B3714" s="1" t="str">
        <f ca="1">IFERROR(__xludf.DUMMYFUNCTION("GOOGLETRANSLATE(A3714, ""en"", ""fr"")"),"Redressé")</f>
        <v>Redressé</v>
      </c>
      <c r="D3714" s="1" t="s">
        <v>4963</v>
      </c>
    </row>
    <row r="3715" spans="1:142" ht="14.25" customHeight="1" x14ac:dyDescent="0.3">
      <c r="A3715" s="1" t="s">
        <v>3856</v>
      </c>
      <c r="B3715" s="1" t="str">
        <f ca="1">IFERROR(__xludf.DUMMYFUNCTION("GOOGLETRANSLATE(A3715, ""en"", ""fr"")"),"Réparer")</f>
        <v>Réparer</v>
      </c>
      <c r="D3715" s="1" t="s">
        <v>4963</v>
      </c>
    </row>
    <row r="3716" spans="1:142" ht="14.25" customHeight="1" x14ac:dyDescent="0.3">
      <c r="A3716" s="1" t="s">
        <v>3857</v>
      </c>
      <c r="B3716" s="1" t="str">
        <f ca="1">IFERROR(__xludf.DUMMYFUNCTION("GOOGLETRANSLATE(A3716, ""en"", ""fr"")"),"Réparation")</f>
        <v>Réparation</v>
      </c>
      <c r="D3716" s="1" t="s">
        <v>4963</v>
      </c>
    </row>
    <row r="3717" spans="1:142" ht="14.25" customHeight="1" x14ac:dyDescent="0.3">
      <c r="A3717" s="1" t="s">
        <v>3858</v>
      </c>
      <c r="B3717" s="1" t="str">
        <f ca="1">IFERROR(__xludf.DUMMYFUNCTION("GOOGLETRANSLATE(A3717, ""en"", ""fr"")"),"pétrole brut réduit")</f>
        <v>pétrole brut réduit</v>
      </c>
      <c r="CS3717" s="1" t="s">
        <v>94</v>
      </c>
      <c r="EL3717" s="1" t="s">
        <v>139</v>
      </c>
    </row>
    <row r="3718" spans="1:142" ht="14.25" customHeight="1" x14ac:dyDescent="0.3">
      <c r="A3718" s="1" t="s">
        <v>3859</v>
      </c>
      <c r="B3718" s="1" t="str">
        <f ca="1">IFERROR(__xludf.DUMMYFUNCTION("GOOGLETRANSLATE(A3718, ""en"", ""fr"")"),"Rentrée")</f>
        <v>Rentrée</v>
      </c>
      <c r="AY3718" s="1" t="s">
        <v>48</v>
      </c>
    </row>
    <row r="3719" spans="1:142" ht="14.25" customHeight="1" x14ac:dyDescent="0.3">
      <c r="A3719" s="1" t="s">
        <v>3860</v>
      </c>
      <c r="B3719" s="1" t="str">
        <f ca="1">IFERROR(__xludf.DUMMYFUNCTION("GOOGLETRANSLATE(A3719, ""en"", ""fr"")"),"Refinancement")</f>
        <v>Refinancement</v>
      </c>
      <c r="D3719" s="1" t="s">
        <v>4963</v>
      </c>
    </row>
    <row r="3720" spans="1:142" ht="14.25" customHeight="1" x14ac:dyDescent="0.3">
      <c r="A3720" s="1" t="s">
        <v>3861</v>
      </c>
      <c r="B3720" s="1" t="str">
        <f ca="1">IFERROR(__xludf.DUMMYFUNCTION("GOOGLETRANSLATE(A3720, ""en"", ""fr"")"),"Refinancé")</f>
        <v>Refinancé</v>
      </c>
      <c r="D3720" s="1" t="s">
        <v>4963</v>
      </c>
    </row>
    <row r="3721" spans="1:142" ht="14.25" customHeight="1" x14ac:dyDescent="0.3">
      <c r="A3721" s="1" t="s">
        <v>3862</v>
      </c>
      <c r="B3721" s="1" t="str">
        <f ca="1">IFERROR(__xludf.DUMMYFUNCTION("GOOGLETRANSLATE(A3721, ""en"", ""fr"")"),"Refinances")</f>
        <v>Refinances</v>
      </c>
      <c r="D3721" s="1" t="s">
        <v>4963</v>
      </c>
    </row>
    <row r="3722" spans="1:142" ht="14.25" customHeight="1" x14ac:dyDescent="0.3">
      <c r="A3722" s="1" t="s">
        <v>3863</v>
      </c>
      <c r="B3722" s="1" t="str">
        <f ca="1">IFERROR(__xludf.DUMMYFUNCTION("GOOGLETRANSLATE(A3722, ""en"", ""fr"")"),"Refinancement")</f>
        <v>Refinancement</v>
      </c>
      <c r="D3722" s="1" t="s">
        <v>4963</v>
      </c>
    </row>
    <row r="3723" spans="1:142" ht="14.25" customHeight="1" x14ac:dyDescent="0.3">
      <c r="A3723" s="1" t="s">
        <v>3864</v>
      </c>
      <c r="B3723" s="1" t="str">
        <f ca="1">IFERROR(__xludf.DUMMYFUNCTION("GOOGLETRANSLATE(A3723, ""en"", ""fr"")"),"Refinancement")</f>
        <v>Refinancement</v>
      </c>
      <c r="D3723" s="1" t="s">
        <v>4963</v>
      </c>
    </row>
    <row r="3724" spans="1:142" ht="14.25" customHeight="1" x14ac:dyDescent="0.3">
      <c r="A3724" s="1" t="s">
        <v>3865</v>
      </c>
      <c r="B3724" s="1" t="str">
        <f ca="1">IFERROR(__xludf.DUMMYFUNCTION("GOOGLETRANSLATE(A3724, ""en"", ""fr"")"),"raffinerie")</f>
        <v>raffinerie</v>
      </c>
      <c r="BF3724" s="1" t="s">
        <v>55</v>
      </c>
      <c r="CS3724" s="1" t="s">
        <v>94</v>
      </c>
    </row>
    <row r="3725" spans="1:142" ht="14.25" customHeight="1" x14ac:dyDescent="0.3">
      <c r="A3725" s="1" t="s">
        <v>3866</v>
      </c>
      <c r="B3725" s="1" t="str">
        <f ca="1">IFERROR(__xludf.DUMMYFUNCTION("GOOGLETRANSLATE(A3725, ""en"", ""fr"")"),"Raffinage")</f>
        <v>Raffinage</v>
      </c>
      <c r="E3725" s="1" t="s">
        <v>3</v>
      </c>
    </row>
    <row r="3726" spans="1:142" ht="14.25" customHeight="1" x14ac:dyDescent="0.3">
      <c r="A3726" s="1" t="s">
        <v>3867</v>
      </c>
      <c r="B3726" s="1" t="str">
        <f ca="1">IFERROR(__xludf.DUMMYFUNCTION("GOOGLETRANSLATE(A3726, ""en"", ""fr"")"),"relance")</f>
        <v>relance</v>
      </c>
      <c r="M3726" s="1" t="s">
        <v>10</v>
      </c>
    </row>
    <row r="3727" spans="1:142" ht="14.25" customHeight="1" x14ac:dyDescent="0.3">
      <c r="A3727" s="1" t="s">
        <v>3868</v>
      </c>
      <c r="B3727" s="1" t="str">
        <f ca="1">IFERROR(__xludf.DUMMYFUNCTION("GOOGLETRANSLATE(A3727, ""en"", ""fr"")"),"réforme")</f>
        <v>réforme</v>
      </c>
      <c r="CS3727" s="1" t="s">
        <v>94</v>
      </c>
    </row>
    <row r="3728" spans="1:142" ht="14.25" customHeight="1" x14ac:dyDescent="0.3">
      <c r="A3728" s="1" t="s">
        <v>3869</v>
      </c>
      <c r="B3728" s="1" t="str">
        <f ca="1">IFERROR(__xludf.DUMMYFUNCTION("GOOGLETRANSLATE(A3728, ""en"", ""fr"")"),"REFUS")</f>
        <v>REFUS</v>
      </c>
      <c r="D3728" s="1" t="s">
        <v>4963</v>
      </c>
    </row>
    <row r="3729" spans="1:13" ht="14.25" customHeight="1" x14ac:dyDescent="0.3">
      <c r="A3729" s="1" t="s">
        <v>3870</v>
      </c>
      <c r="B3729" s="1" t="str">
        <f ca="1">IFERROR(__xludf.DUMMYFUNCTION("GOOGLETRANSLATE(A3729, ""en"", ""fr"")"),"Refus")</f>
        <v>Refus</v>
      </c>
      <c r="D3729" s="1" t="s">
        <v>4963</v>
      </c>
    </row>
    <row r="3730" spans="1:13" ht="14.25" customHeight="1" x14ac:dyDescent="0.3">
      <c r="A3730" s="1" t="s">
        <v>3871</v>
      </c>
      <c r="B3730" s="1" t="str">
        <f ca="1">IFERROR(__xludf.DUMMYFUNCTION("GOOGLETRANSLATE(A3730, ""en"", ""fr"")"),"REFUSER")</f>
        <v>REFUSER</v>
      </c>
      <c r="D3730" s="1" t="s">
        <v>4963</v>
      </c>
    </row>
    <row r="3731" spans="1:13" ht="14.25" customHeight="1" x14ac:dyDescent="0.3">
      <c r="A3731" s="1" t="s">
        <v>3872</v>
      </c>
      <c r="B3731" s="1" t="str">
        <f ca="1">IFERROR(__xludf.DUMMYFUNCTION("GOOGLETRANSLATE(A3731, ""en"", ""fr"")"),"REFUSÉ")</f>
        <v>REFUSÉ</v>
      </c>
      <c r="D3731" s="1" t="s">
        <v>4963</v>
      </c>
    </row>
    <row r="3732" spans="1:13" ht="14.25" customHeight="1" x14ac:dyDescent="0.3">
      <c r="A3732" s="1" t="s">
        <v>3873</v>
      </c>
      <c r="B3732" s="1" t="str">
        <f ca="1">IFERROR(__xludf.DUMMYFUNCTION("GOOGLETRANSLATE(A3732, ""en"", ""fr"")"),"Refuser")</f>
        <v>Refuser</v>
      </c>
      <c r="D3732" s="1" t="s">
        <v>4963</v>
      </c>
    </row>
    <row r="3733" spans="1:13" ht="14.25" customHeight="1" x14ac:dyDescent="0.3">
      <c r="A3733" s="1" t="s">
        <v>3874</v>
      </c>
      <c r="B3733" s="1" t="str">
        <f ca="1">IFERROR(__xludf.DUMMYFUNCTION("GOOGLETRANSLATE(A3733, ""en"", ""fr"")"),"REFUSANT")</f>
        <v>REFUSANT</v>
      </c>
      <c r="D3733" s="1" t="s">
        <v>4963</v>
      </c>
    </row>
    <row r="3734" spans="1:13" ht="14.25" customHeight="1" x14ac:dyDescent="0.3">
      <c r="A3734" s="1" t="s">
        <v>3875</v>
      </c>
      <c r="B3734" s="1" t="str">
        <f ca="1">IFERROR(__xludf.DUMMYFUNCTION("GOOGLETRANSLATE(A3734, ""en"", ""fr"")"),"RECONQUÉRIR")</f>
        <v>RECONQUÉRIR</v>
      </c>
      <c r="H3734" s="1" t="s">
        <v>4964</v>
      </c>
    </row>
    <row r="3735" spans="1:13" ht="14.25" customHeight="1" x14ac:dyDescent="0.3">
      <c r="A3735" s="1" t="s">
        <v>3876</v>
      </c>
      <c r="B3735" s="1" t="str">
        <f ca="1">IFERROR(__xludf.DUMMYFUNCTION("GOOGLETRANSLATE(A3735, ""en"", ""fr"")"),"Retrouvé")</f>
        <v>Retrouvé</v>
      </c>
      <c r="H3735" s="1" t="s">
        <v>4964</v>
      </c>
    </row>
    <row r="3736" spans="1:13" ht="14.25" customHeight="1" x14ac:dyDescent="0.3">
      <c r="A3736" s="1" t="s">
        <v>3877</v>
      </c>
      <c r="B3736" s="1" t="str">
        <f ca="1">IFERROR(__xludf.DUMMYFUNCTION("GOOGLETRANSLATE(A3736, ""en"", ""fr"")"),"Retraite")</f>
        <v>Retraite</v>
      </c>
      <c r="H3736" s="1" t="s">
        <v>4964</v>
      </c>
    </row>
    <row r="3737" spans="1:13" ht="14.25" customHeight="1" x14ac:dyDescent="0.3">
      <c r="A3737" s="1" t="s">
        <v>3878</v>
      </c>
      <c r="B3737" s="1" t="str">
        <f ca="1">IFERROR(__xludf.DUMMYFUNCTION("GOOGLETRANSLATE(A3737, ""en"", ""fr"")"),"système de réglementation")</f>
        <v>système de réglementation</v>
      </c>
      <c r="M3737" s="1" t="s">
        <v>10</v>
      </c>
    </row>
    <row r="3738" spans="1:13" ht="14.25" customHeight="1" x14ac:dyDescent="0.3">
      <c r="A3738" s="1" t="s">
        <v>3879</v>
      </c>
      <c r="B3738" s="1" t="str">
        <f ca="1">IFERROR(__xludf.DUMMYFUNCTION("GOOGLETRANSLATE(A3738, ""en"", ""fr"")"),"Réinjection")</f>
        <v>Réinjection</v>
      </c>
      <c r="E3738" s="1" t="s">
        <v>3</v>
      </c>
    </row>
    <row r="3739" spans="1:13" ht="14.25" customHeight="1" x14ac:dyDescent="0.3">
      <c r="A3739" s="1" t="s">
        <v>3880</v>
      </c>
      <c r="B3739" s="1" t="str">
        <f ca="1">IFERROR(__xludf.DUMMYFUNCTION("GOOGLETRANSLATE(A3739, ""en"", ""fr"")"),"REJETER")</f>
        <v>REJETER</v>
      </c>
      <c r="D3739" s="1" t="s">
        <v>4963</v>
      </c>
    </row>
    <row r="3740" spans="1:13" ht="14.25" customHeight="1" x14ac:dyDescent="0.3">
      <c r="A3740" s="1" t="s">
        <v>3881</v>
      </c>
      <c r="B3740" s="1" t="str">
        <f ca="1">IFERROR(__xludf.DUMMYFUNCTION("GOOGLETRANSLATE(A3740, ""en"", ""fr"")"),"REJETÉ")</f>
        <v>REJETÉ</v>
      </c>
      <c r="D3740" s="1" t="s">
        <v>4963</v>
      </c>
    </row>
    <row r="3741" spans="1:13" ht="14.25" customHeight="1" x14ac:dyDescent="0.3">
      <c r="A3741" s="1" t="s">
        <v>3882</v>
      </c>
      <c r="B3741" s="1" t="str">
        <f ca="1">IFERROR(__xludf.DUMMYFUNCTION("GOOGLETRANSLATE(A3741, ""en"", ""fr"")"),"REJETANT")</f>
        <v>REJETANT</v>
      </c>
      <c r="D3741" s="1" t="s">
        <v>4963</v>
      </c>
    </row>
    <row r="3742" spans="1:13" ht="14.25" customHeight="1" x14ac:dyDescent="0.3">
      <c r="A3742" s="1" t="s">
        <v>3883</v>
      </c>
      <c r="B3742" s="1" t="str">
        <f ca="1">IFERROR(__xludf.DUMMYFUNCTION("GOOGLETRANSLATE(A3742, ""en"", ""fr"")"),"REJET")</f>
        <v>REJET</v>
      </c>
      <c r="D3742" s="1" t="s">
        <v>4963</v>
      </c>
    </row>
    <row r="3743" spans="1:13" ht="14.25" customHeight="1" x14ac:dyDescent="0.3">
      <c r="A3743" s="1" t="s">
        <v>3884</v>
      </c>
      <c r="B3743" s="1" t="str">
        <f ca="1">IFERROR(__xludf.DUMMYFUNCTION("GOOGLETRANSLATE(A3743, ""en"", ""fr"")"),"Refuges")</f>
        <v>Refuges</v>
      </c>
      <c r="D3743" s="1" t="s">
        <v>4963</v>
      </c>
    </row>
    <row r="3744" spans="1:13" ht="14.25" customHeight="1" x14ac:dyDescent="0.3">
      <c r="A3744" s="1" t="s">
        <v>3885</v>
      </c>
      <c r="B3744" s="1" t="str">
        <f ca="1">IFERROR(__xludf.DUMMYFUNCTION("GOOGLETRANSLATE(A3744, ""en"", ""fr"")"),"Rejeter")</f>
        <v>Rejeter</v>
      </c>
      <c r="D3744" s="1" t="s">
        <v>4963</v>
      </c>
    </row>
    <row r="3745" spans="1:124" ht="14.25" customHeight="1" x14ac:dyDescent="0.3">
      <c r="A3745" s="1" t="s">
        <v>3886</v>
      </c>
      <c r="B3745" s="1" t="str">
        <f ca="1">IFERROR(__xludf.DUMMYFUNCTION("GOOGLETRANSLATE(A3745, ""en"", ""fr"")"),"dépendance")</f>
        <v>dépendance</v>
      </c>
      <c r="X3745" s="1" t="s">
        <v>21</v>
      </c>
      <c r="AH3745" s="1" t="s">
        <v>31</v>
      </c>
      <c r="CI3745" s="1" t="s">
        <v>84</v>
      </c>
      <c r="DT3745" s="1" t="s">
        <v>121</v>
      </c>
    </row>
    <row r="3746" spans="1:124" ht="14.25" customHeight="1" x14ac:dyDescent="0.3">
      <c r="A3746" s="1" t="s">
        <v>3887</v>
      </c>
      <c r="B3746" s="1" t="str">
        <f ca="1">IFERROR(__xludf.DUMMYFUNCTION("GOOGLETRANSLATE(A3746, ""en"", ""fr"")"),"RENONCER")</f>
        <v>RENONCER</v>
      </c>
      <c r="D3746" s="1" t="s">
        <v>4963</v>
      </c>
    </row>
    <row r="3747" spans="1:124" ht="14.25" customHeight="1" x14ac:dyDescent="0.3">
      <c r="A3747" s="1" t="s">
        <v>3888</v>
      </c>
      <c r="B3747" s="1" t="str">
        <f ca="1">IFERROR(__xludf.DUMMYFUNCTION("GOOGLETRANSLATE(A3747, ""en"", ""fr"")"),"Abandonné")</f>
        <v>Abandonné</v>
      </c>
      <c r="D3747" s="1" t="s">
        <v>4963</v>
      </c>
    </row>
    <row r="3748" spans="1:124" ht="14.25" customHeight="1" x14ac:dyDescent="0.3">
      <c r="A3748" s="1" t="s">
        <v>3889</v>
      </c>
      <c r="B3748" s="1" t="str">
        <f ca="1">IFERROR(__xludf.DUMMYFUNCTION("GOOGLETRANSLATE(A3748, ""en"", ""fr"")"),"Abandon")</f>
        <v>Abandon</v>
      </c>
      <c r="D3748" s="1" t="s">
        <v>4963</v>
      </c>
    </row>
    <row r="3749" spans="1:124" ht="14.25" customHeight="1" x14ac:dyDescent="0.3">
      <c r="A3749" s="1" t="s">
        <v>3890</v>
      </c>
      <c r="B3749" s="1" t="str">
        <f ca="1">IFERROR(__xludf.DUMMYFUNCTION("GOOGLETRANSLATE(A3749, ""en"", ""fr"")"),"Abandon")</f>
        <v>Abandon</v>
      </c>
      <c r="D3749" s="1" t="s">
        <v>4963</v>
      </c>
    </row>
    <row r="3750" spans="1:124" ht="14.25" customHeight="1" x14ac:dyDescent="0.3">
      <c r="A3750" s="1" t="s">
        <v>3891</v>
      </c>
      <c r="B3750" s="1" t="str">
        <f ca="1">IFERROR(__xludf.DUMMYFUNCTION("GOOGLETRANSLATE(A3750, ""en"", ""fr"")"),"Renoncement")</f>
        <v>Renoncement</v>
      </c>
      <c r="D3750" s="1" t="s">
        <v>4963</v>
      </c>
    </row>
    <row r="3751" spans="1:124" ht="14.25" customHeight="1" x14ac:dyDescent="0.3">
      <c r="A3751" s="1" t="s">
        <v>3892</v>
      </c>
      <c r="B3751" s="1" t="str">
        <f ca="1">IFERROR(__xludf.DUMMYFUNCTION("GOOGLETRANSLATE(A3751, ""en"", ""fr"")"),"Abandon")</f>
        <v>Abandon</v>
      </c>
      <c r="D3751" s="1" t="s">
        <v>4963</v>
      </c>
    </row>
    <row r="3752" spans="1:124" ht="14.25" customHeight="1" x14ac:dyDescent="0.3">
      <c r="A3752" s="1" t="s">
        <v>3893</v>
      </c>
      <c r="B3752" s="1" t="str">
        <f ca="1">IFERROR(__xludf.DUMMYFUNCTION("GOOGLETRANSLATE(A3752, ""en"", ""fr"")"),"RÉLUCTANCE")</f>
        <v>RÉLUCTANCE</v>
      </c>
      <c r="D3752" s="1" t="s">
        <v>4963</v>
      </c>
    </row>
    <row r="3753" spans="1:124" ht="14.25" customHeight="1" x14ac:dyDescent="0.3">
      <c r="A3753" s="1" t="s">
        <v>3894</v>
      </c>
      <c r="B3753" s="1" t="str">
        <f ca="1">IFERROR(__xludf.DUMMYFUNCTION("GOOGLETRANSLATE(A3753, ""en"", ""fr"")"),"RÉTICENT")</f>
        <v>RÉTICENT</v>
      </c>
      <c r="D3753" s="1" t="s">
        <v>4963</v>
      </c>
    </row>
    <row r="3754" spans="1:124" ht="14.25" customHeight="1" x14ac:dyDescent="0.3">
      <c r="A3754" s="1" t="s">
        <v>3895</v>
      </c>
      <c r="B3754" s="1" t="str">
        <f ca="1">IFERROR(__xludf.DUMMYFUNCTION("GOOGLETRANSLATE(A3754, ""en"", ""fr"")"),"Renégocier")</f>
        <v>Renégocier</v>
      </c>
      <c r="D3754" s="1" t="s">
        <v>4963</v>
      </c>
    </row>
    <row r="3755" spans="1:124" ht="14.25" customHeight="1" x14ac:dyDescent="0.3">
      <c r="A3755" s="1" t="s">
        <v>3896</v>
      </c>
      <c r="B3755" s="1" t="str">
        <f ca="1">IFERROR(__xludf.DUMMYFUNCTION("GOOGLETRANSLATE(A3755, ""en"", ""fr"")"),"Renégocié")</f>
        <v>Renégocié</v>
      </c>
      <c r="D3755" s="1" t="s">
        <v>4963</v>
      </c>
    </row>
    <row r="3756" spans="1:124" ht="14.25" customHeight="1" x14ac:dyDescent="0.3">
      <c r="A3756" s="1" t="s">
        <v>3897</v>
      </c>
      <c r="B3756" s="1" t="str">
        <f ca="1">IFERROR(__xludf.DUMMYFUNCTION("GOOGLETRANSLATE(A3756, ""en"", ""fr"")"),"Renégation")</f>
        <v>Renégation</v>
      </c>
      <c r="D3756" s="1" t="s">
        <v>4963</v>
      </c>
    </row>
    <row r="3757" spans="1:124" ht="14.25" customHeight="1" x14ac:dyDescent="0.3">
      <c r="A3757" s="1" t="s">
        <v>3898</v>
      </c>
      <c r="B3757" s="1" t="str">
        <f ca="1">IFERROR(__xludf.DUMMYFUNCTION("GOOGLETRANSLATE(A3757, ""en"", ""fr"")"),"Renégociation")</f>
        <v>Renégociation</v>
      </c>
      <c r="D3757" s="1" t="s">
        <v>4963</v>
      </c>
    </row>
    <row r="3758" spans="1:124" ht="14.25" customHeight="1" x14ac:dyDescent="0.3">
      <c r="A3758" s="1" t="s">
        <v>3899</v>
      </c>
      <c r="B3758" s="1" t="str">
        <f ca="1">IFERROR(__xludf.DUMMYFUNCTION("GOOGLETRANSLATE(A3758, ""en"", ""fr"")"),"Renégociation")</f>
        <v>Renégociation</v>
      </c>
      <c r="D3758" s="1" t="s">
        <v>4963</v>
      </c>
    </row>
    <row r="3759" spans="1:124" ht="14.25" customHeight="1" x14ac:dyDescent="0.3">
      <c r="A3759" s="1" t="s">
        <v>3900</v>
      </c>
      <c r="B3759" s="1" t="str">
        <f ca="1">IFERROR(__xludf.DUMMYFUNCTION("GOOGLETRANSLATE(A3759, ""en"", ""fr"")"),"Renégociations")</f>
        <v>Renégociations</v>
      </c>
      <c r="D3759" s="1" t="s">
        <v>4963</v>
      </c>
    </row>
    <row r="3760" spans="1:124" ht="14.25" customHeight="1" x14ac:dyDescent="0.3">
      <c r="A3760" s="1" t="s">
        <v>3901</v>
      </c>
      <c r="B3760" s="1" t="str">
        <f ca="1">IFERROR(__xludf.DUMMYFUNCTION("GOOGLETRANSLATE(A3760, ""en"", ""fr"")"),"RENONCER")</f>
        <v>RENONCER</v>
      </c>
      <c r="D3760" s="1" t="s">
        <v>4963</v>
      </c>
    </row>
    <row r="3761" spans="1:132" ht="14.25" customHeight="1" x14ac:dyDescent="0.3">
      <c r="A3761" s="1" t="s">
        <v>3902</v>
      </c>
      <c r="B3761" s="1" t="str">
        <f ca="1">IFERROR(__xludf.DUMMYFUNCTION("GOOGLETRANSLATE(A3761, ""en"", ""fr"")"),"Renoncé")</f>
        <v>Renoncé</v>
      </c>
      <c r="D3761" s="1" t="s">
        <v>4963</v>
      </c>
    </row>
    <row r="3762" spans="1:132" ht="14.25" customHeight="1" x14ac:dyDescent="0.3">
      <c r="A3762" s="1" t="s">
        <v>3903</v>
      </c>
      <c r="B3762" s="1" t="str">
        <f ca="1">IFERROR(__xludf.DUMMYFUNCTION("GOOGLETRANSLATE(A3762, ""en"", ""fr"")"),"RENONCEMENT")</f>
        <v>RENONCEMENT</v>
      </c>
      <c r="D3762" s="1" t="s">
        <v>4963</v>
      </c>
    </row>
    <row r="3763" spans="1:132" ht="14.25" customHeight="1" x14ac:dyDescent="0.3">
      <c r="A3763" s="1" t="s">
        <v>3904</v>
      </c>
      <c r="B3763" s="1" t="str">
        <f ca="1">IFERROR(__xludf.DUMMYFUNCTION("GOOGLETRANSLATE(A3763, ""en"", ""fr"")"),"Renoncement")</f>
        <v>Renoncement</v>
      </c>
      <c r="D3763" s="1" t="s">
        <v>4963</v>
      </c>
    </row>
    <row r="3764" spans="1:132" ht="14.25" customHeight="1" x14ac:dyDescent="0.3">
      <c r="A3764" s="1" t="s">
        <v>3905</v>
      </c>
      <c r="B3764" s="1" t="str">
        <f ca="1">IFERROR(__xludf.DUMMYFUNCTION("GOOGLETRANSLATE(A3764, ""en"", ""fr"")"),"Renoncement")</f>
        <v>Renoncement</v>
      </c>
      <c r="D3764" s="1" t="s">
        <v>4963</v>
      </c>
    </row>
    <row r="3765" spans="1:132" ht="14.25" customHeight="1" x14ac:dyDescent="0.3">
      <c r="A3765" s="1" t="s">
        <v>3906</v>
      </c>
      <c r="B3765" s="1" t="str">
        <f ca="1">IFERROR(__xludf.DUMMYFUNCTION("GOOGLETRANSLATE(A3765, ""en"", ""fr"")"),"Renoncement")</f>
        <v>Renoncement</v>
      </c>
      <c r="D3765" s="1" t="s">
        <v>4963</v>
      </c>
    </row>
    <row r="3766" spans="1:132" ht="14.25" customHeight="1" x14ac:dyDescent="0.3">
      <c r="A3766" s="1" t="s">
        <v>3907</v>
      </c>
      <c r="B3766" s="1" t="str">
        <f ca="1">IFERROR(__xludf.DUMMYFUNCTION("GOOGLETRANSLATE(A3766, ""en"", ""fr"")"),"RÉPARATION")</f>
        <v>RÉPARATION</v>
      </c>
      <c r="D3766" s="1" t="s">
        <v>4963</v>
      </c>
    </row>
    <row r="3767" spans="1:132" ht="14.25" customHeight="1" x14ac:dyDescent="0.3">
      <c r="A3767" s="1" t="s">
        <v>3908</v>
      </c>
      <c r="B3767" s="1" t="str">
        <f ca="1">IFERROR(__xludf.DUMMYFUNCTION("GOOGLETRANSLATE(A3767, ""en"", ""fr"")"),"RÉPARATIONS")</f>
        <v>RÉPARATIONS</v>
      </c>
      <c r="D3767" s="1" t="s">
        <v>4963</v>
      </c>
    </row>
    <row r="3768" spans="1:132" ht="14.25" customHeight="1" x14ac:dyDescent="0.3">
      <c r="A3768" s="1" t="s">
        <v>3909</v>
      </c>
      <c r="B3768" s="1" t="str">
        <f ca="1">IFERROR(__xludf.DUMMYFUNCTION("GOOGLETRANSLATE(A3768, ""en"", ""fr"")"),"replans")</f>
        <v>replans</v>
      </c>
      <c r="X3768" s="1" t="s">
        <v>21</v>
      </c>
      <c r="BF3768" s="1" t="s">
        <v>55</v>
      </c>
      <c r="CZ3768" s="1" t="s">
        <v>101</v>
      </c>
      <c r="DX3768" s="1" t="s">
        <v>125</v>
      </c>
      <c r="EB3768" s="1" t="s">
        <v>129</v>
      </c>
    </row>
    <row r="3769" spans="1:132" ht="14.25" customHeight="1" x14ac:dyDescent="0.3">
      <c r="A3769" s="1" t="s">
        <v>3910</v>
      </c>
      <c r="B3769" s="1" t="str">
        <f ca="1">IFERROR(__xludf.DUMMYFUNCTION("GOOGLETRANSLATE(A3769, ""en"", ""fr"")"),"Reproché")</f>
        <v>Reproché</v>
      </c>
      <c r="D3769" s="1" t="s">
        <v>4963</v>
      </c>
    </row>
    <row r="3770" spans="1:132" ht="14.25" customHeight="1" x14ac:dyDescent="0.3">
      <c r="A3770" s="1" t="s">
        <v>3911</v>
      </c>
      <c r="B3770" s="1" t="str">
        <f ca="1">IFERROR(__xludf.DUMMYFUNCTION("GOOGLETRANSLATE(A3770, ""en"", ""fr"")"),"Reprocher")</f>
        <v>Reprocher</v>
      </c>
      <c r="D3770" s="1" t="s">
        <v>4963</v>
      </c>
    </row>
    <row r="3771" spans="1:132" ht="14.25" customHeight="1" x14ac:dyDescent="0.3">
      <c r="A3771" s="1" t="s">
        <v>3912</v>
      </c>
      <c r="B3771" s="1" t="str">
        <f ca="1">IFERROR(__xludf.DUMMYFUNCTION("GOOGLETRANSLATE(A3771, ""en"", ""fr"")"),"Reprocher")</f>
        <v>Reprocher</v>
      </c>
      <c r="D3771" s="1" t="s">
        <v>4963</v>
      </c>
    </row>
    <row r="3772" spans="1:132" ht="14.25" customHeight="1" x14ac:dyDescent="0.3">
      <c r="A3772" s="1" t="s">
        <v>3913</v>
      </c>
      <c r="B3772" s="1" t="str">
        <f ca="1">IFERROR(__xludf.DUMMYFUNCTION("GOOGLETRANSLATE(A3772, ""en"", ""fr"")"),"REPRISE DE POSSESSION")</f>
        <v>REPRISE DE POSSESSION</v>
      </c>
      <c r="D3772" s="1" t="s">
        <v>4963</v>
      </c>
    </row>
    <row r="3773" spans="1:132" ht="14.25" customHeight="1" x14ac:dyDescent="0.3">
      <c r="A3773" s="1" t="s">
        <v>3914</v>
      </c>
      <c r="B3773" s="1" t="str">
        <f ca="1">IFERROR(__xludf.DUMMYFUNCTION("GOOGLETRANSLATE(A3773, ""en"", ""fr"")"),"Reprise")</f>
        <v>Reprise</v>
      </c>
      <c r="D3773" s="1" t="s">
        <v>4963</v>
      </c>
    </row>
    <row r="3774" spans="1:132" ht="14.25" customHeight="1" x14ac:dyDescent="0.3">
      <c r="A3774" s="1" t="s">
        <v>3915</v>
      </c>
      <c r="B3774" s="1" t="str">
        <f ca="1">IFERROR(__xludf.DUMMYFUNCTION("GOOGLETRANSLATE(A3774, ""en"", ""fr"")"),"RÉPUDIER")</f>
        <v>RÉPUDIER</v>
      </c>
      <c r="D3774" s="1" t="s">
        <v>4963</v>
      </c>
    </row>
    <row r="3775" spans="1:132" ht="14.25" customHeight="1" x14ac:dyDescent="0.3">
      <c r="A3775" s="1" t="s">
        <v>3916</v>
      </c>
      <c r="B3775" s="1" t="str">
        <f ca="1">IFERROR(__xludf.DUMMYFUNCTION("GOOGLETRANSLATE(A3775, ""en"", ""fr"")"),"RÉPUDIÉ")</f>
        <v>RÉPUDIÉ</v>
      </c>
      <c r="D3775" s="1" t="s">
        <v>4963</v>
      </c>
    </row>
    <row r="3776" spans="1:132" ht="14.25" customHeight="1" x14ac:dyDescent="0.3">
      <c r="A3776" s="1" t="s">
        <v>3917</v>
      </c>
      <c r="B3776" s="1" t="str">
        <f ca="1">IFERROR(__xludf.DUMMYFUNCTION("GOOGLETRANSLATE(A3776, ""en"", ""fr"")"),"Rejette")</f>
        <v>Rejette</v>
      </c>
      <c r="D3776" s="1" t="s">
        <v>4963</v>
      </c>
    </row>
    <row r="3777" spans="1:142" ht="14.25" customHeight="1" x14ac:dyDescent="0.3">
      <c r="A3777" s="1" t="s">
        <v>3918</v>
      </c>
      <c r="B3777" s="1" t="str">
        <f ca="1">IFERROR(__xludf.DUMMYFUNCTION("GOOGLETRANSLATE(A3777, ""en"", ""fr"")"),"Répudiation")</f>
        <v>Répudiation</v>
      </c>
      <c r="D3777" s="1" t="s">
        <v>4963</v>
      </c>
    </row>
    <row r="3778" spans="1:142" ht="14.25" customHeight="1" x14ac:dyDescent="0.3">
      <c r="A3778" s="1" t="s">
        <v>3919</v>
      </c>
      <c r="B3778" s="1" t="str">
        <f ca="1">IFERROR(__xludf.DUMMYFUNCTION("GOOGLETRANSLATE(A3778, ""en"", ""fr"")"),"RÉPUDIATION")</f>
        <v>RÉPUDIATION</v>
      </c>
      <c r="D3778" s="1" t="s">
        <v>4963</v>
      </c>
    </row>
    <row r="3779" spans="1:142" ht="14.25" customHeight="1" x14ac:dyDescent="0.3">
      <c r="A3779" s="1" t="s">
        <v>3920</v>
      </c>
      <c r="B3779" s="1" t="str">
        <f ca="1">IFERROR(__xludf.DUMMYFUNCTION("GOOGLETRANSLATE(A3779, ""en"", ""fr"")"),"Répudiations")</f>
        <v>Répudiations</v>
      </c>
      <c r="D3779" s="1" t="s">
        <v>4963</v>
      </c>
    </row>
    <row r="3780" spans="1:142" ht="14.25" customHeight="1" x14ac:dyDescent="0.3">
      <c r="A3780" s="1" t="s">
        <v>3921</v>
      </c>
      <c r="B3780" s="1" t="str">
        <f ca="1">IFERROR(__xludf.DUMMYFUNCTION("GOOGLETRANSLATE(A3780, ""en"", ""fr"")"),"Rénovation")</f>
        <v>Rénovation</v>
      </c>
      <c r="E3780" s="1" t="s">
        <v>3</v>
      </c>
    </row>
    <row r="3781" spans="1:142" ht="14.25" customHeight="1" x14ac:dyDescent="0.3">
      <c r="A3781" s="1" t="s">
        <v>3922</v>
      </c>
      <c r="B3781" s="1" t="str">
        <f ca="1">IFERROR(__xludf.DUMMYFUNCTION("GOOGLETRANSLATE(A3781, ""en"", ""fr"")"),"valeur de revente")</f>
        <v>valeur de revente</v>
      </c>
      <c r="M3781" s="1" t="s">
        <v>10</v>
      </c>
    </row>
    <row r="3782" spans="1:142" ht="14.25" customHeight="1" x14ac:dyDescent="0.3">
      <c r="A3782" s="1" t="s">
        <v>3923</v>
      </c>
      <c r="B3782" s="1" t="str">
        <f ca="1">IFERROR(__xludf.DUMMYFUNCTION("GOOGLETRANSLATE(A3782, ""en"", ""fr"")"),"Recherche et développement")</f>
        <v>Recherche et développement</v>
      </c>
      <c r="M3782" s="1" t="s">
        <v>10</v>
      </c>
    </row>
    <row r="3783" spans="1:142" ht="14.25" customHeight="1" x14ac:dyDescent="0.3">
      <c r="A3783" s="1" t="s">
        <v>3924</v>
      </c>
      <c r="B3783" s="1" t="str">
        <f ca="1">IFERROR(__xludf.DUMMYFUNCTION("GOOGLETRANSLATE(A3783, ""en"", ""fr"")"),"réserves")</f>
        <v>réserves</v>
      </c>
      <c r="CS3783" s="1" t="s">
        <v>94</v>
      </c>
    </row>
    <row r="3784" spans="1:142" ht="14.25" customHeight="1" x14ac:dyDescent="0.3">
      <c r="A3784" s="1" t="s">
        <v>3925</v>
      </c>
      <c r="B3784" s="1" t="str">
        <f ca="1">IFERROR(__xludf.DUMMYFUNCTION("GOOGLETRANSLATE(A3784, ""en"", ""fr"")"),"Réserves: possible")</f>
        <v>Réserves: possible</v>
      </c>
      <c r="E3784" s="1" t="s">
        <v>3</v>
      </c>
    </row>
    <row r="3785" spans="1:142" ht="14.25" customHeight="1" x14ac:dyDescent="0.3">
      <c r="A3785" s="1" t="s">
        <v>3926</v>
      </c>
      <c r="B3785" s="1" t="str">
        <f ca="1">IFERROR(__xludf.DUMMYFUNCTION("GOOGLETRANSLATE(A3785, ""en"", ""fr"")"),"Réserves: probable")</f>
        <v>Réserves: probable</v>
      </c>
      <c r="E3785" s="1" t="s">
        <v>3</v>
      </c>
    </row>
    <row r="3786" spans="1:142" ht="14.25" customHeight="1" x14ac:dyDescent="0.3">
      <c r="A3786" s="1" t="s">
        <v>3927</v>
      </c>
      <c r="B3786" s="1" t="str">
        <f ca="1">IFERROR(__xludf.DUMMYFUNCTION("GOOGLETRANSLATE(A3786, ""en"", ""fr"")"),"Réserves: prouvé")</f>
        <v>Réserves: prouvé</v>
      </c>
      <c r="E3786" s="1" t="s">
        <v>3</v>
      </c>
    </row>
    <row r="3787" spans="1:142" ht="14.25" customHeight="1" x14ac:dyDescent="0.3">
      <c r="A3787" s="1" t="s">
        <v>3928</v>
      </c>
      <c r="B3787" s="1" t="str">
        <f ca="1">IFERROR(__xludf.DUMMYFUNCTION("GOOGLETRANSLATE(A3787, ""en"", ""fr"")"),"réservoir")</f>
        <v>réservoir</v>
      </c>
      <c r="CS3787" s="1" t="s">
        <v>94</v>
      </c>
    </row>
    <row r="3788" spans="1:142" ht="14.25" customHeight="1" x14ac:dyDescent="0.3">
      <c r="A3788" s="1" t="s">
        <v>3929</v>
      </c>
      <c r="B3788" s="1" t="str">
        <f ca="1">IFERROR(__xludf.DUMMYFUNCTION("GOOGLETRANSLATE(A3788, ""en"", ""fr"")"),"Caractéristiques du réservoir")</f>
        <v>Caractéristiques du réservoir</v>
      </c>
      <c r="CS3788" s="1" t="s">
        <v>94</v>
      </c>
    </row>
    <row r="3789" spans="1:142" ht="14.25" customHeight="1" x14ac:dyDescent="0.3">
      <c r="A3789" s="1" t="s">
        <v>3930</v>
      </c>
      <c r="B3789" s="1" t="str">
        <f ca="1">IFERROR(__xludf.DUMMYFUNCTION("GOOGLETRANSLATE(A3789, ""en"", ""fr"")"),"Lecteur de réservoir")</f>
        <v>Lecteur de réservoir</v>
      </c>
      <c r="E3789" s="1" t="s">
        <v>3</v>
      </c>
    </row>
    <row r="3790" spans="1:142" ht="14.25" customHeight="1" x14ac:dyDescent="0.3">
      <c r="A3790" s="1" t="s">
        <v>3931</v>
      </c>
      <c r="B3790" s="1" t="str">
        <f ca="1">IFERROR(__xludf.DUMMYFUNCTION("GOOGLETRANSLATE(A3790, ""en"", ""fr"")"),"Modèle d'ingénierie du réservoir")</f>
        <v>Modèle d'ingénierie du réservoir</v>
      </c>
      <c r="E3790" s="1" t="s">
        <v>3</v>
      </c>
    </row>
    <row r="3791" spans="1:142" ht="14.25" customHeight="1" x14ac:dyDescent="0.3">
      <c r="A3791" s="1" t="s">
        <v>3932</v>
      </c>
      <c r="B3791" s="1" t="str">
        <f ca="1">IFERROR(__xludf.DUMMYFUNCTION("GOOGLETRANSLATE(A3791, ""en"", ""fr"")"),"scories résiduelles")</f>
        <v>scories résiduelles</v>
      </c>
      <c r="CS3791" s="1" t="s">
        <v>94</v>
      </c>
    </row>
    <row r="3792" spans="1:142" ht="14.25" customHeight="1" x14ac:dyDescent="0.3">
      <c r="A3792" s="1" t="s">
        <v>3933</v>
      </c>
      <c r="B3792" s="1" t="str">
        <f ca="1">IFERROR(__xludf.DUMMYFUNCTION("GOOGLETRANSLATE(A3792, ""en"", ""fr"")"),"Gaz de résidu")</f>
        <v>Gaz de résidu</v>
      </c>
      <c r="EL3792" s="1" t="s">
        <v>139</v>
      </c>
    </row>
    <row r="3793" spans="1:13" ht="14.25" customHeight="1" x14ac:dyDescent="0.3">
      <c r="A3793" s="1" t="s">
        <v>3934</v>
      </c>
      <c r="B3793" s="1" t="str">
        <f ca="1">IFERROR(__xludf.DUMMYFUNCTION("GOOGLETRANSLATE(A3793, ""en"", ""fr"")"),"DÉMISSIONNER")</f>
        <v>DÉMISSIONNER</v>
      </c>
      <c r="D3793" s="1" t="s">
        <v>4963</v>
      </c>
    </row>
    <row r="3794" spans="1:13" ht="14.25" customHeight="1" x14ac:dyDescent="0.3">
      <c r="A3794" s="1" t="s">
        <v>3935</v>
      </c>
      <c r="B3794" s="1" t="str">
        <f ca="1">IFERROR(__xludf.DUMMYFUNCTION("GOOGLETRANSLATE(A3794, ""en"", ""fr"")"),"DÉMISSION")</f>
        <v>DÉMISSION</v>
      </c>
      <c r="D3794" s="1" t="s">
        <v>4963</v>
      </c>
    </row>
    <row r="3795" spans="1:13" ht="14.25" customHeight="1" x14ac:dyDescent="0.3">
      <c r="A3795" s="1" t="s">
        <v>3936</v>
      </c>
      <c r="B3795" s="1" t="str">
        <f ca="1">IFERROR(__xludf.DUMMYFUNCTION("GOOGLETRANSLATE(A3795, ""en"", ""fr"")"),"Démission")</f>
        <v>Démission</v>
      </c>
      <c r="D3795" s="1" t="s">
        <v>4963</v>
      </c>
    </row>
    <row r="3796" spans="1:13" ht="14.25" customHeight="1" x14ac:dyDescent="0.3">
      <c r="A3796" s="1" t="s">
        <v>3937</v>
      </c>
      <c r="B3796" s="1" t="str">
        <f ca="1">IFERROR(__xludf.DUMMYFUNCTION("GOOGLETRANSLATE(A3796, ""en"", ""fr"")"),"RÉSIGNÉ")</f>
        <v>RÉSIGNÉ</v>
      </c>
      <c r="D3796" s="1" t="s">
        <v>4963</v>
      </c>
    </row>
    <row r="3797" spans="1:13" ht="14.25" customHeight="1" x14ac:dyDescent="0.3">
      <c r="A3797" s="1" t="s">
        <v>3938</v>
      </c>
      <c r="B3797" s="1" t="str">
        <f ca="1">IFERROR(__xludf.DUMMYFUNCTION("GOOGLETRANSLATE(A3797, ""en"", ""fr"")"),"DÉMISSIONNAIRE")</f>
        <v>DÉMISSIONNAIRE</v>
      </c>
      <c r="D3797" s="1" t="s">
        <v>4963</v>
      </c>
    </row>
    <row r="3798" spans="1:13" ht="14.25" customHeight="1" x14ac:dyDescent="0.3">
      <c r="A3798" s="1" t="s">
        <v>3939</v>
      </c>
      <c r="B3798" s="1" t="str">
        <f ca="1">IFERROR(__xludf.DUMMYFUNCTION("GOOGLETRANSLATE(A3798, ""en"", ""fr"")"),"Démission")</f>
        <v>Démission</v>
      </c>
      <c r="D3798" s="1" t="s">
        <v>4963</v>
      </c>
    </row>
    <row r="3799" spans="1:13" ht="14.25" customHeight="1" x14ac:dyDescent="0.3">
      <c r="A3799" s="1" t="s">
        <v>3940</v>
      </c>
      <c r="B3799" s="1" t="str">
        <f ca="1">IFERROR(__xludf.DUMMYFUNCTION("GOOGLETRANSLATE(A3799, ""en"", ""fr"")"),"RÉSOUDRE")</f>
        <v>RÉSOUDRE</v>
      </c>
      <c r="H3799" s="1" t="s">
        <v>4964</v>
      </c>
    </row>
    <row r="3800" spans="1:13" ht="14.25" customHeight="1" x14ac:dyDescent="0.3">
      <c r="A3800" s="1" t="s">
        <v>3941</v>
      </c>
      <c r="B3800" s="1" t="str">
        <f ca="1">IFERROR(__xludf.DUMMYFUNCTION("GOOGLETRANSLATE(A3800, ""en"", ""fr"")"),"Reprocher")</f>
        <v>Reprocher</v>
      </c>
      <c r="D3800" s="1" t="s">
        <v>4963</v>
      </c>
    </row>
    <row r="3801" spans="1:13" ht="14.25" customHeight="1" x14ac:dyDescent="0.3">
      <c r="A3801" s="1" t="s">
        <v>3942</v>
      </c>
      <c r="B3801" s="1" t="str">
        <f ca="1">IFERROR(__xludf.DUMMYFUNCTION("GOOGLETRANSLATE(A3801, ""en"", ""fr"")"),"Relâché")</f>
        <v>Relâché</v>
      </c>
      <c r="D3801" s="1" t="s">
        <v>4963</v>
      </c>
    </row>
    <row r="3802" spans="1:13" ht="14.25" customHeight="1" x14ac:dyDescent="0.3">
      <c r="A3802" s="1" t="s">
        <v>3943</v>
      </c>
      <c r="B3802" s="1" t="str">
        <f ca="1">IFERROR(__xludf.DUMMYFUNCTION("GOOGLETRANSLATE(A3802, ""en"", ""fr"")"),"Retraitement")</f>
        <v>Retraitement</v>
      </c>
      <c r="D3802" s="1" t="s">
        <v>4963</v>
      </c>
    </row>
    <row r="3803" spans="1:13" ht="14.25" customHeight="1" x14ac:dyDescent="0.3">
      <c r="A3803" s="1" t="s">
        <v>3944</v>
      </c>
      <c r="B3803" s="1" t="str">
        <f ca="1">IFERROR(__xludf.DUMMYFUNCTION("GOOGLETRANSLATE(A3803, ""en"", ""fr"")"),"Retraitements")</f>
        <v>Retraitements</v>
      </c>
      <c r="D3803" s="1" t="s">
        <v>4963</v>
      </c>
    </row>
    <row r="3804" spans="1:13" ht="14.25" customHeight="1" x14ac:dyDescent="0.3">
      <c r="A3804" s="1" t="s">
        <v>3945</v>
      </c>
      <c r="B3804" s="1" t="str">
        <f ca="1">IFERROR(__xludf.DUMMYFUNCTION("GOOGLETRANSLATE(A3804, ""en"", ""fr"")"),"Relâcher")</f>
        <v>Relâcher</v>
      </c>
      <c r="D3804" s="1" t="s">
        <v>4963</v>
      </c>
    </row>
    <row r="3805" spans="1:13" ht="14.25" customHeight="1" x14ac:dyDescent="0.3">
      <c r="A3805" s="1" t="s">
        <v>3946</v>
      </c>
      <c r="B3805" s="1" t="str">
        <f ca="1">IFERROR(__xludf.DUMMYFUNCTION("GOOGLETRANSLATE(A3805, ""en"", ""fr"")"),"Redouter")</f>
        <v>Redouter</v>
      </c>
      <c r="D3805" s="1" t="s">
        <v>4963</v>
      </c>
    </row>
    <row r="3806" spans="1:13" ht="14.25" customHeight="1" x14ac:dyDescent="0.3">
      <c r="A3806" s="1" t="s">
        <v>3947</v>
      </c>
      <c r="B3806" s="1" t="str">
        <f ca="1">IFERROR(__xludf.DUMMYFUNCTION("GOOGLETRANSLATE(A3806, ""en"", ""fr"")"),"politique de crédit restrictive")</f>
        <v>politique de crédit restrictive</v>
      </c>
      <c r="M3806" s="1" t="s">
        <v>10</v>
      </c>
    </row>
    <row r="3807" spans="1:13" ht="14.25" customHeight="1" x14ac:dyDescent="0.3">
      <c r="A3807" s="1" t="s">
        <v>3948</v>
      </c>
      <c r="B3807" s="1" t="str">
        <f ca="1">IFERROR(__xludf.DUMMYFUNCTION("GOOGLETRANSLATE(A3807, ""en"", ""fr"")"),"RESTRUCTURER")</f>
        <v>RESTRUCTURER</v>
      </c>
      <c r="D3807" s="1" t="s">
        <v>4963</v>
      </c>
    </row>
    <row r="3808" spans="1:13" ht="14.25" customHeight="1" x14ac:dyDescent="0.3">
      <c r="A3808" s="1" t="s">
        <v>3949</v>
      </c>
      <c r="B3808" s="1" t="str">
        <f ca="1">IFERROR(__xludf.DUMMYFUNCTION("GOOGLETRANSLATE(A3808, ""en"", ""fr"")"),"Restructuré")</f>
        <v>Restructuré</v>
      </c>
      <c r="D3808" s="1" t="s">
        <v>4963</v>
      </c>
    </row>
    <row r="3809" spans="1:96" ht="14.25" customHeight="1" x14ac:dyDescent="0.3">
      <c r="A3809" s="1" t="s">
        <v>3950</v>
      </c>
      <c r="B3809" s="1" t="str">
        <f ca="1">IFERROR(__xludf.DUMMYFUNCTION("GOOGLETRANSLATE(A3809, ""en"", ""fr"")"),"Restructure")</f>
        <v>Restructure</v>
      </c>
      <c r="D3809" s="1" t="s">
        <v>4963</v>
      </c>
    </row>
    <row r="3810" spans="1:96" ht="14.25" customHeight="1" x14ac:dyDescent="0.3">
      <c r="A3810" s="1" t="s">
        <v>3951</v>
      </c>
      <c r="B3810" s="1" t="str">
        <f ca="1">IFERROR(__xludf.DUMMYFUNCTION("GOOGLETRANSLATE(A3810, ""en"", ""fr"")"),"RESTRUCTURATION")</f>
        <v>RESTRUCTURATION</v>
      </c>
      <c r="D3810" s="1" t="s">
        <v>4963</v>
      </c>
    </row>
    <row r="3811" spans="1:96" ht="14.25" customHeight="1" x14ac:dyDescent="0.3">
      <c r="A3811" s="1" t="s">
        <v>3952</v>
      </c>
      <c r="B3811" s="1" t="str">
        <f ca="1">IFERROR(__xludf.DUMMYFUNCTION("GOOGLETRANSLATE(A3811, ""en"", ""fr"")"),"Restructuration")</f>
        <v>Restructuration</v>
      </c>
      <c r="D3811" s="1" t="s">
        <v>4963</v>
      </c>
    </row>
    <row r="3812" spans="1:96" ht="14.25" customHeight="1" x14ac:dyDescent="0.3">
      <c r="A3812" s="1" t="s">
        <v>3953</v>
      </c>
      <c r="B3812" s="1" t="str">
        <f ca="1">IFERROR(__xludf.DUMMYFUNCTION("GOOGLETRANSLATE(A3812, ""en"", ""fr"")"),"Indice des prix de détail")</f>
        <v>Indice des prix de détail</v>
      </c>
      <c r="M3812" s="1" t="s">
        <v>10</v>
      </c>
    </row>
    <row r="3813" spans="1:96" ht="14.25" customHeight="1" x14ac:dyDescent="0.3">
      <c r="A3813" s="1" t="s">
        <v>3954</v>
      </c>
      <c r="B3813" s="1" t="str">
        <f ca="1">IFERROR(__xludf.DUMMYFUNCTION("GOOGLETRANSLATE(A3813, ""en"", ""fr"")"),"ventes au détail")</f>
        <v>ventes au détail</v>
      </c>
      <c r="M3813" s="1" t="s">
        <v>10</v>
      </c>
    </row>
    <row r="3814" spans="1:96" ht="14.25" customHeight="1" x14ac:dyDescent="0.3">
      <c r="A3814" s="1" t="s">
        <v>3955</v>
      </c>
      <c r="B3814" s="1" t="str">
        <f ca="1">IFERROR(__xludf.DUMMYFUNCTION("GOOGLETRANSLATE(A3814, ""en"", ""fr"")"),"Indice de vente au détail")</f>
        <v>Indice de vente au détail</v>
      </c>
      <c r="M3814" s="1" t="s">
        <v>10</v>
      </c>
    </row>
    <row r="3815" spans="1:96" ht="14.25" customHeight="1" x14ac:dyDescent="0.3">
      <c r="A3815" s="1" t="s">
        <v>3956</v>
      </c>
      <c r="B3815" s="1" t="str">
        <f ca="1">IFERROR(__xludf.DUMMYFUNCTION("GOOGLETRANSLATE(A3815, ""en"", ""fr"")"),"des bénéfices non répartis")</f>
        <v>des bénéfices non répartis</v>
      </c>
      <c r="CR3815" s="1" t="s">
        <v>93</v>
      </c>
    </row>
    <row r="3816" spans="1:96" ht="14.25" customHeight="1" x14ac:dyDescent="0.3">
      <c r="A3816" s="1" t="s">
        <v>3957</v>
      </c>
      <c r="B3816" s="1" t="str">
        <f ca="1">IFERROR(__xludf.DUMMYFUNCTION("GOOGLETRANSLATE(A3816, ""en"", ""fr"")"),"USER DE REPRÉSAILLES")</f>
        <v>USER DE REPRÉSAILLES</v>
      </c>
      <c r="D3816" s="1" t="s">
        <v>4963</v>
      </c>
    </row>
    <row r="3817" spans="1:96" ht="14.25" customHeight="1" x14ac:dyDescent="0.3">
      <c r="A3817" s="1" t="s">
        <v>3958</v>
      </c>
      <c r="B3817" s="1" t="str">
        <f ca="1">IFERROR(__xludf.DUMMYFUNCTION("GOOGLETRANSLATE(A3817, ""en"", ""fr"")"),"Repalé")</f>
        <v>Repalé</v>
      </c>
      <c r="D3817" s="1" t="s">
        <v>4963</v>
      </c>
    </row>
    <row r="3818" spans="1:96" ht="14.25" customHeight="1" x14ac:dyDescent="0.3">
      <c r="A3818" s="1" t="s">
        <v>3959</v>
      </c>
      <c r="B3818" s="1" t="str">
        <f ca="1">IFERROR(__xludf.DUMMYFUNCTION("GOOGLETRANSLATE(A3818, ""en"", ""fr"")"),"SE VENGE")</f>
        <v>SE VENGE</v>
      </c>
      <c r="D3818" s="1" t="s">
        <v>4963</v>
      </c>
    </row>
    <row r="3819" spans="1:96" ht="14.25" customHeight="1" x14ac:dyDescent="0.3">
      <c r="A3819" s="1" t="s">
        <v>3960</v>
      </c>
      <c r="B3819" s="1" t="str">
        <f ca="1">IFERROR(__xludf.DUMMYFUNCTION("GOOGLETRANSLATE(A3819, ""en"", ""fr"")"),"Ripostant")</f>
        <v>Ripostant</v>
      </c>
      <c r="D3819" s="1" t="s">
        <v>4963</v>
      </c>
    </row>
    <row r="3820" spans="1:96" ht="14.25" customHeight="1" x14ac:dyDescent="0.3">
      <c r="A3820" s="1" t="s">
        <v>3961</v>
      </c>
      <c r="B3820" s="1" t="str">
        <f ca="1">IFERROR(__xludf.DUMMYFUNCTION("GOOGLETRANSLATE(A3820, ""en"", ""fr"")"),"REPRÉSAILLES")</f>
        <v>REPRÉSAILLES</v>
      </c>
      <c r="D3820" s="1" t="s">
        <v>4963</v>
      </c>
    </row>
    <row r="3821" spans="1:96" ht="14.25" customHeight="1" x14ac:dyDescent="0.3">
      <c r="A3821" s="1" t="s">
        <v>3962</v>
      </c>
      <c r="B3821" s="1" t="str">
        <f ca="1">IFERROR(__xludf.DUMMYFUNCTION("GOOGLETRANSLATE(A3821, ""en"", ""fr"")"),"Représailles")</f>
        <v>Représailles</v>
      </c>
      <c r="D3821" s="1" t="s">
        <v>4963</v>
      </c>
    </row>
    <row r="3822" spans="1:96" ht="14.25" customHeight="1" x14ac:dyDescent="0.3">
      <c r="A3822" s="1" t="s">
        <v>3963</v>
      </c>
      <c r="B3822" s="1" t="str">
        <f ca="1">IFERROR(__xludf.DUMMYFUNCTION("GOOGLETRANSLATE(A3822, ""en"", ""fr"")"),"DE REPRÉSAILLES")</f>
        <v>DE REPRÉSAILLES</v>
      </c>
      <c r="D3822" s="1" t="s">
        <v>4963</v>
      </c>
    </row>
    <row r="3823" spans="1:96" ht="14.25" customHeight="1" x14ac:dyDescent="0.3">
      <c r="A3823" s="1" t="s">
        <v>3964</v>
      </c>
      <c r="B3823" s="1" t="str">
        <f ca="1">IFERROR(__xludf.DUMMYFUNCTION("GOOGLETRANSLATE(A3823, ""en"", ""fr"")"),"responsabilités à la retraite")</f>
        <v>responsabilités à la retraite</v>
      </c>
      <c r="CR3823" s="1" t="s">
        <v>93</v>
      </c>
    </row>
    <row r="3824" spans="1:96" ht="14.25" customHeight="1" x14ac:dyDescent="0.3">
      <c r="A3824" s="1" t="s">
        <v>3965</v>
      </c>
      <c r="B3824" s="1" t="str">
        <f ca="1">IFERROR(__xludf.DUMMYFUNCTION("GOOGLETRANSLATE(A3824, ""en"", ""fr"")"),"retraite de la dette à long terme")</f>
        <v>retraite de la dette à long terme</v>
      </c>
      <c r="CR3824" s="1" t="s">
        <v>93</v>
      </c>
    </row>
    <row r="3825" spans="1:96" ht="14.25" customHeight="1" x14ac:dyDescent="0.3">
      <c r="A3825" s="1" t="s">
        <v>3966</v>
      </c>
      <c r="B3825" s="1" t="str">
        <f ca="1">IFERROR(__xludf.DUMMYFUNCTION("GOOGLETRANSLATE(A3825, ""en"", ""fr"")"),"CHÂTIMENT")</f>
        <v>CHÂTIMENT</v>
      </c>
      <c r="D3825" s="1" t="s">
        <v>4963</v>
      </c>
    </row>
    <row r="3826" spans="1:96" ht="14.25" customHeight="1" x14ac:dyDescent="0.3">
      <c r="A3826" s="1" t="s">
        <v>3967</v>
      </c>
      <c r="B3826" s="1" t="str">
        <f ca="1">IFERROR(__xludf.DUMMYFUNCTION("GOOGLETRANSLATE(A3826, ""en"", ""fr"")"),"Rétributions")</f>
        <v>Rétributions</v>
      </c>
      <c r="D3826" s="1" t="s">
        <v>4963</v>
      </c>
    </row>
    <row r="3827" spans="1:96" ht="14.25" customHeight="1" x14ac:dyDescent="0.3">
      <c r="A3827" s="1" t="s">
        <v>3968</v>
      </c>
      <c r="B3827" s="1" t="str">
        <f ca="1">IFERROR(__xludf.DUMMYFUNCTION("GOOGLETRANSLATE(A3827, ""en"", ""fr"")"),"le rendement des actifs")</f>
        <v>le rendement des actifs</v>
      </c>
      <c r="CR3827" s="1" t="s">
        <v>93</v>
      </c>
    </row>
    <row r="3828" spans="1:96" ht="14.25" customHeight="1" x14ac:dyDescent="0.3">
      <c r="A3828" s="1" t="s">
        <v>3969</v>
      </c>
      <c r="B3828" s="1" t="str">
        <f ca="1">IFERROR(__xludf.DUMMYFUNCTION("GOOGLETRANSLATE(A3828, ""en"", ""fr"")"),"Retour des capitaux propres")</f>
        <v>Retour des capitaux propres</v>
      </c>
      <c r="CR3828" s="1" t="s">
        <v>93</v>
      </c>
    </row>
    <row r="3829" spans="1:96" ht="14.25" customHeight="1" x14ac:dyDescent="0.3">
      <c r="A3829" s="1" t="s">
        <v>3970</v>
      </c>
      <c r="B3829" s="1" t="str">
        <f ca="1">IFERROR(__xludf.DUMMYFUNCTION("GOOGLETRANSLATE(A3829, ""en"", ""fr"")"),"Retour sur des capitaux propres tangibles")</f>
        <v>Retour sur des capitaux propres tangibles</v>
      </c>
      <c r="CR3829" s="1" t="s">
        <v>93</v>
      </c>
    </row>
    <row r="3830" spans="1:96" ht="14.25" customHeight="1" x14ac:dyDescent="0.3">
      <c r="A3830" s="1" t="s">
        <v>3971</v>
      </c>
      <c r="B3830" s="1" t="str">
        <f ca="1">IFERROR(__xludf.DUMMYFUNCTION("GOOGLETRANSLATE(A3830, ""en"", ""fr"")"),"revenu")</f>
        <v>revenu</v>
      </c>
      <c r="CR3830" s="1" t="s">
        <v>93</v>
      </c>
    </row>
    <row r="3831" spans="1:96" ht="14.25" customHeight="1" x14ac:dyDescent="0.3">
      <c r="A3831" s="1" t="s">
        <v>3972</v>
      </c>
      <c r="B3831" s="1" t="str">
        <f ca="1">IFERROR(__xludf.DUMMYFUNCTION("GOOGLETRANSLATE(A3831, ""en"", ""fr"")"),"RÉVOCATION")</f>
        <v>RÉVOCATION</v>
      </c>
      <c r="D3831" s="1" t="s">
        <v>4963</v>
      </c>
    </row>
    <row r="3832" spans="1:96" ht="14.25" customHeight="1" x14ac:dyDescent="0.3">
      <c r="A3832" s="1" t="s">
        <v>3973</v>
      </c>
      <c r="B3832" s="1" t="str">
        <f ca="1">IFERROR(__xludf.DUMMYFUNCTION("GOOGLETRANSLATE(A3832, ""en"", ""fr"")"),"Révocations")</f>
        <v>Révocations</v>
      </c>
      <c r="D3832" s="1" t="s">
        <v>4963</v>
      </c>
    </row>
    <row r="3833" spans="1:96" ht="14.25" customHeight="1" x14ac:dyDescent="0.3">
      <c r="A3833" s="1" t="s">
        <v>3974</v>
      </c>
      <c r="B3833" s="1" t="str">
        <f ca="1">IFERROR(__xludf.DUMMYFUNCTION("GOOGLETRANSLATE(A3833, ""en"", ""fr"")"),"RÉVOQUER")</f>
        <v>RÉVOQUER</v>
      </c>
      <c r="D3833" s="1" t="s">
        <v>4963</v>
      </c>
    </row>
    <row r="3834" spans="1:96" ht="14.25" customHeight="1" x14ac:dyDescent="0.3">
      <c r="A3834" s="1" t="s">
        <v>3975</v>
      </c>
      <c r="B3834" s="1" t="str">
        <f ca="1">IFERROR(__xludf.DUMMYFUNCTION("GOOGLETRANSLATE(A3834, ""en"", ""fr"")"),"Révoqué")</f>
        <v>Révoqué</v>
      </c>
      <c r="D3834" s="1" t="s">
        <v>4963</v>
      </c>
    </row>
    <row r="3835" spans="1:96" ht="14.25" customHeight="1" x14ac:dyDescent="0.3">
      <c r="A3835" s="1" t="s">
        <v>3976</v>
      </c>
      <c r="B3835" s="1" t="str">
        <f ca="1">IFERROR(__xludf.DUMMYFUNCTION("GOOGLETRANSLATE(A3835, ""en"", ""fr"")"),"Révoquer")</f>
        <v>Révoquer</v>
      </c>
      <c r="D3835" s="1" t="s">
        <v>4963</v>
      </c>
    </row>
    <row r="3836" spans="1:96" ht="14.25" customHeight="1" x14ac:dyDescent="0.3">
      <c r="A3836" s="1" t="s">
        <v>3977</v>
      </c>
      <c r="B3836" s="1" t="str">
        <f ca="1">IFERROR(__xludf.DUMMYFUNCTION("GOOGLETRANSLATE(A3836, ""en"", ""fr"")"),"Révoquant")</f>
        <v>Révoquant</v>
      </c>
      <c r="D3836" s="1" t="s">
        <v>4963</v>
      </c>
    </row>
    <row r="3837" spans="1:96" ht="14.25" customHeight="1" x14ac:dyDescent="0.3">
      <c r="A3837" s="1" t="s">
        <v>3978</v>
      </c>
      <c r="B3837" s="1" t="str">
        <f ca="1">IFERROR(__xludf.DUMMYFUNCTION("GOOGLETRANSLATE(A3837, ""en"", ""fr"")"),"RÉVOLUTIONNER")</f>
        <v>RÉVOLUTIONNER</v>
      </c>
      <c r="H3837" s="1" t="s">
        <v>4964</v>
      </c>
    </row>
    <row r="3838" spans="1:96" ht="14.25" customHeight="1" x14ac:dyDescent="0.3">
      <c r="A3838" s="1" t="s">
        <v>3979</v>
      </c>
      <c r="B3838" s="1" t="str">
        <f ca="1">IFERROR(__xludf.DUMMYFUNCTION("GOOGLETRANSLATE(A3838, ""en"", ""fr"")"),"Révolutionné")</f>
        <v>Révolutionné</v>
      </c>
      <c r="H3838" s="1" t="s">
        <v>4964</v>
      </c>
    </row>
    <row r="3839" spans="1:96" ht="14.25" customHeight="1" x14ac:dyDescent="0.3">
      <c r="A3839" s="1" t="s">
        <v>3980</v>
      </c>
      <c r="B3839" s="1" t="str">
        <f ca="1">IFERROR(__xludf.DUMMYFUNCTION("GOOGLETRANSLATE(A3839, ""en"", ""fr"")"),"Révolutionner")</f>
        <v>Révolutionner</v>
      </c>
      <c r="H3839" s="1" t="s">
        <v>4964</v>
      </c>
    </row>
    <row r="3840" spans="1:96" ht="14.25" customHeight="1" x14ac:dyDescent="0.3">
      <c r="A3840" s="1" t="s">
        <v>3981</v>
      </c>
      <c r="B3840" s="1" t="str">
        <f ca="1">IFERROR(__xludf.DUMMYFUNCTION("GOOGLETRANSLATE(A3840, ""en"", ""fr"")"),"Révolutionné")</f>
        <v>Révolutionné</v>
      </c>
      <c r="H3840" s="1" t="s">
        <v>4964</v>
      </c>
    </row>
    <row r="3841" spans="1:136" ht="14.25" customHeight="1" x14ac:dyDescent="0.3">
      <c r="A3841" s="1" t="s">
        <v>3982</v>
      </c>
      <c r="B3841" s="1" t="str">
        <f ca="1">IFERROR(__xludf.DUMMYFUNCTION("GOOGLETRANSLATE(A3841, ""en"", ""fr"")"),"RÉCOMPENSE")</f>
        <v>RÉCOMPENSE</v>
      </c>
      <c r="H3841" s="1" t="s">
        <v>4964</v>
      </c>
    </row>
    <row r="3842" spans="1:136" ht="14.25" customHeight="1" x14ac:dyDescent="0.3">
      <c r="A3842" s="1" t="s">
        <v>3983</v>
      </c>
      <c r="B3842" s="1" t="str">
        <f ca="1">IFERROR(__xludf.DUMMYFUNCTION("GOOGLETRANSLATE(A3842, ""en"", ""fr"")"),"Récompensé")</f>
        <v>Récompensé</v>
      </c>
      <c r="H3842" s="1" t="s">
        <v>4964</v>
      </c>
    </row>
    <row r="3843" spans="1:136" ht="14.25" customHeight="1" x14ac:dyDescent="0.3">
      <c r="A3843" s="1" t="s">
        <v>3984</v>
      </c>
      <c r="B3843" s="1" t="str">
        <f ca="1">IFERROR(__xludf.DUMMYFUNCTION("GOOGLETRANSLATE(A3843, ""en"", ""fr"")"),"RÉCOMPENSE")</f>
        <v>RÉCOMPENSE</v>
      </c>
      <c r="H3843" s="1" t="s">
        <v>4964</v>
      </c>
    </row>
    <row r="3844" spans="1:136" ht="14.25" customHeight="1" x14ac:dyDescent="0.3">
      <c r="A3844" s="1" t="s">
        <v>3985</v>
      </c>
      <c r="B3844" s="1" t="str">
        <f ca="1">IFERROR(__xludf.DUMMYFUNCTION("GOOGLETRANSLATE(A3844, ""en"", ""fr"")"),"RÉCOMPENSES")</f>
        <v>RÉCOMPENSES</v>
      </c>
      <c r="H3844" s="1" t="s">
        <v>4964</v>
      </c>
    </row>
    <row r="3845" spans="1:136" ht="14.25" customHeight="1" x14ac:dyDescent="0.3">
      <c r="A3845" s="1" t="s">
        <v>3986</v>
      </c>
      <c r="B3845" s="1" t="str">
        <f ca="1">IFERROR(__xludf.DUMMYFUNCTION("GOOGLETRANSLATE(A3845, ""en"", ""fr"")"),"RIDICULE")</f>
        <v>RIDICULE</v>
      </c>
      <c r="D3845" s="1" t="s">
        <v>4963</v>
      </c>
    </row>
    <row r="3846" spans="1:136" ht="14.25" customHeight="1" x14ac:dyDescent="0.3">
      <c r="A3846" s="1" t="s">
        <v>3987</v>
      </c>
      <c r="B3846" s="1" t="str">
        <f ca="1">IFERROR(__xludf.DUMMYFUNCTION("GOOGLETRANSLATE(A3846, ""en"", ""fr"")"),"Ridiculisé")</f>
        <v>Ridiculisé</v>
      </c>
      <c r="D3846" s="1" t="s">
        <v>4963</v>
      </c>
    </row>
    <row r="3847" spans="1:136" ht="14.25" customHeight="1" x14ac:dyDescent="0.3">
      <c r="A3847" s="1" t="s">
        <v>3988</v>
      </c>
      <c r="B3847" s="1" t="str">
        <f ca="1">IFERROR(__xludf.DUMMYFUNCTION("GOOGLETRANSLATE(A3847, ""en"", ""fr"")"),"Ridicule")</f>
        <v>Ridicule</v>
      </c>
      <c r="D3847" s="1" t="s">
        <v>4963</v>
      </c>
    </row>
    <row r="3848" spans="1:136" ht="14.25" customHeight="1" x14ac:dyDescent="0.3">
      <c r="A3848" s="1" t="s">
        <v>3989</v>
      </c>
      <c r="B3848" s="1" t="str">
        <f ca="1">IFERROR(__xludf.DUMMYFUNCTION("GOOGLETRANSLATE(A3848, ""en"", ""fr"")"),"Ridiculisant")</f>
        <v>Ridiculisant</v>
      </c>
      <c r="D3848" s="1" t="s">
        <v>4963</v>
      </c>
    </row>
    <row r="3849" spans="1:136" ht="14.25" customHeight="1" x14ac:dyDescent="0.3">
      <c r="A3849" s="1" t="s">
        <v>3990</v>
      </c>
      <c r="B3849" s="1" t="str">
        <f ca="1">IFERROR(__xludf.DUMMYFUNCTION("GOOGLETRANSLATE(A3849, ""en"", ""fr"")"),"Rincon")</f>
        <v>Rincon</v>
      </c>
      <c r="R3849" s="1" t="s">
        <v>15</v>
      </c>
      <c r="CS3849" s="1" t="s">
        <v>94</v>
      </c>
    </row>
    <row r="3850" spans="1:136" ht="14.25" customHeight="1" x14ac:dyDescent="0.3">
      <c r="A3850" s="1" t="s">
        <v>3991</v>
      </c>
      <c r="B3850" s="1" t="str">
        <f ca="1">IFERROR(__xludf.DUMMYFUNCTION("GOOGLETRANSLATE(A3850, ""en"", ""fr"")"),"Rio Grande do norte")</f>
        <v>Rio Grande do norte</v>
      </c>
      <c r="R3850" s="1" t="s">
        <v>15</v>
      </c>
      <c r="CS3850" s="1" t="s">
        <v>94</v>
      </c>
    </row>
    <row r="3851" spans="1:136" ht="14.25" customHeight="1" x14ac:dyDescent="0.3">
      <c r="A3851" s="1" t="s">
        <v>3992</v>
      </c>
      <c r="B3851" s="1" t="str">
        <f ca="1">IFERROR(__xludf.DUMMYFUNCTION("GOOGLETRANSLATE(A3851, ""en"", ""fr"")"),"hausse des prix")</f>
        <v>hausse des prix</v>
      </c>
      <c r="M3851" s="1" t="s">
        <v>10</v>
      </c>
    </row>
    <row r="3852" spans="1:136" ht="14.25" customHeight="1" x14ac:dyDescent="0.3">
      <c r="A3852" s="1" t="s">
        <v>3993</v>
      </c>
      <c r="B3852" s="1" t="str">
        <f ca="1">IFERROR(__xludf.DUMMYFUNCTION("GOOGLETRANSLATE(A3852, ""en"", ""fr"")"),"gestion des risques")</f>
        <v>gestion des risques</v>
      </c>
      <c r="CR3852" s="1" t="s">
        <v>93</v>
      </c>
      <c r="EF3852" s="1" t="s">
        <v>133</v>
      </c>
    </row>
    <row r="3853" spans="1:136" ht="14.25" customHeight="1" x14ac:dyDescent="0.3">
      <c r="A3853" s="1" t="s">
        <v>3994</v>
      </c>
      <c r="B3853" s="1" t="str">
        <f ca="1">IFERROR(__xludf.DUMMYFUNCTION("GOOGLETRANSLATE(A3853, ""en"", ""fr"")"),"Plus risqué")</f>
        <v>Plus risqué</v>
      </c>
      <c r="D3853" s="1" t="s">
        <v>4963</v>
      </c>
    </row>
    <row r="3854" spans="1:136" ht="14.25" customHeight="1" x14ac:dyDescent="0.3">
      <c r="A3854" s="1" t="s">
        <v>3995</v>
      </c>
      <c r="B3854" s="1" t="str">
        <f ca="1">IFERROR(__xludf.DUMMYFUNCTION("GOOGLETRANSLATE(A3854, ""en"", ""fr"")"),"Le plus risqué")</f>
        <v>Le plus risqué</v>
      </c>
      <c r="D3854" s="1" t="s">
        <v>4963</v>
      </c>
    </row>
    <row r="3855" spans="1:136" ht="14.25" customHeight="1" x14ac:dyDescent="0.3">
      <c r="A3855" s="1" t="s">
        <v>3996</v>
      </c>
      <c r="B3855" s="1" t="str">
        <f ca="1">IFERROR(__xludf.DUMMYFUNCTION("GOOGLETRANSLATE(A3855, ""en"", ""fr"")"),"RISQUÉ")</f>
        <v>RISQUÉ</v>
      </c>
      <c r="D3855" s="1" t="s">
        <v>4963</v>
      </c>
    </row>
    <row r="3856" spans="1:136" ht="14.25" customHeight="1" x14ac:dyDescent="0.3">
      <c r="A3856" s="1" t="s">
        <v>3997</v>
      </c>
      <c r="B3856" s="1" t="str">
        <f ca="1">IFERROR(__xludf.DUMMYFUNCTION("GOOGLETRANSLATE(A3856, ""en"", ""fr"")"),"rlam")</f>
        <v>rlam</v>
      </c>
      <c r="X3856" s="1" t="s">
        <v>21</v>
      </c>
      <c r="BF3856" s="1" t="s">
        <v>55</v>
      </c>
      <c r="CZ3856" s="1" t="s">
        <v>101</v>
      </c>
      <c r="DX3856" s="1" t="s">
        <v>125</v>
      </c>
      <c r="EB3856" s="1" t="s">
        <v>129</v>
      </c>
    </row>
    <row r="3857" spans="1:143" ht="14.25" customHeight="1" x14ac:dyDescent="0.3">
      <c r="A3857" s="1" t="s">
        <v>3998</v>
      </c>
      <c r="B3857" s="1" t="str">
        <f ca="1">IFERROR(__xludf.DUMMYFUNCTION("GOOGLETRANSLATE(A3857, ""en"", ""fr"")"),"roa")</f>
        <v>roa</v>
      </c>
      <c r="CR3857" s="1" t="s">
        <v>93</v>
      </c>
    </row>
    <row r="3858" spans="1:143" ht="14.25" customHeight="1" x14ac:dyDescent="0.3">
      <c r="A3858" s="1" t="s">
        <v>3999</v>
      </c>
      <c r="B3858" s="1" t="str">
        <f ca="1">IFERROR(__xludf.DUMMYFUNCTION("GOOGLETRANSLATE(A3858, ""en"", ""fr"")"),"monnaie robuste")</f>
        <v>monnaie robuste</v>
      </c>
      <c r="M3858" s="1" t="s">
        <v>10</v>
      </c>
    </row>
    <row r="3859" spans="1:143" ht="14.25" customHeight="1" x14ac:dyDescent="0.3">
      <c r="A3859" s="1" t="s">
        <v>4000</v>
      </c>
      <c r="B3859" s="1" t="str">
        <f ca="1">IFERROR(__xludf.DUMMYFUNCTION("GOOGLETRANSLATE(A3859, ""en"", ""fr"")"),"chevreuil")</f>
        <v>chevreuil</v>
      </c>
      <c r="CR3859" s="1" t="s">
        <v>93</v>
      </c>
    </row>
    <row r="3860" spans="1:143" ht="14.25" customHeight="1" x14ac:dyDescent="0.3">
      <c r="A3860" s="1" t="s">
        <v>4001</v>
      </c>
      <c r="B3860" s="1" t="str">
        <f ca="1">IFERROR(__xludf.DUMMYFUNCTION("GOOGLETRANSLATE(A3860, ""en"", ""fr"")"),"Romashkino")</f>
        <v>Romashkino</v>
      </c>
      <c r="AK3860" s="1" t="s">
        <v>34</v>
      </c>
      <c r="BH3860" s="1" t="s">
        <v>57</v>
      </c>
      <c r="BW3860" s="1" t="s">
        <v>72</v>
      </c>
      <c r="DD3860" s="1" t="s">
        <v>105</v>
      </c>
    </row>
    <row r="3861" spans="1:143" ht="14.25" customHeight="1" x14ac:dyDescent="0.3">
      <c r="A3861" s="1" t="s">
        <v>4002</v>
      </c>
      <c r="B3861" s="1" t="str">
        <f ca="1">IFERROR(__xludf.DUMMYFUNCTION("GOOGLETRANSLATE(A3861, ""en"", ""fr"")"),"rosneft")</f>
        <v>rosneft</v>
      </c>
      <c r="X3861" s="1" t="s">
        <v>21</v>
      </c>
      <c r="BL3861" s="1" t="s">
        <v>61</v>
      </c>
      <c r="BV3861" s="1" t="s">
        <v>71</v>
      </c>
      <c r="DT3861" s="1" t="s">
        <v>121</v>
      </c>
    </row>
    <row r="3862" spans="1:143" ht="14.25" customHeight="1" x14ac:dyDescent="0.3">
      <c r="A3862" s="1" t="s">
        <v>4003</v>
      </c>
      <c r="B3862" s="1" t="str">
        <f ca="1">IFERROR(__xludf.DUMMYFUNCTION("GOOGLETRANSLATE(A3862, ""en"", ""fr"")"),"Ross")</f>
        <v>Ross</v>
      </c>
      <c r="R3862" s="1" t="s">
        <v>15</v>
      </c>
      <c r="CS3862" s="1" t="s">
        <v>94</v>
      </c>
    </row>
    <row r="3863" spans="1:143" ht="14.25" customHeight="1" x14ac:dyDescent="0.3">
      <c r="A3863" s="1" t="s">
        <v>4004</v>
      </c>
      <c r="B3863" s="1" t="str">
        <f ca="1">IFERROR(__xludf.DUMMYFUNCTION("GOOGLETRANSLATE(A3863, ""en"", ""fr"")"),"Forage rotatif")</f>
        <v>Forage rotatif</v>
      </c>
      <c r="AY3863" s="1" t="s">
        <v>48</v>
      </c>
    </row>
    <row r="3864" spans="1:143" ht="14.25" customHeight="1" x14ac:dyDescent="0.3">
      <c r="A3864" s="1" t="s">
        <v>4005</v>
      </c>
      <c r="B3864" s="1" t="str">
        <f ca="1">IFERROR(__xludf.DUMMYFUNCTION("GOOGLETRANSLATE(A3864, ""en"", ""fr"")"),"Table rotative")</f>
        <v>Table rotative</v>
      </c>
      <c r="AY3864" s="1" t="s">
        <v>48</v>
      </c>
    </row>
    <row r="3865" spans="1:143" ht="14.25" customHeight="1" x14ac:dyDescent="0.3">
      <c r="A3865" s="1" t="s">
        <v>4006</v>
      </c>
      <c r="B3865" s="1" t="str">
        <f ca="1">IFERROR(__xludf.DUMMYFUNCTION("GOOGLETRANSLATE(A3865, ""en"", ""fr"")"),"Aller-retour")</f>
        <v>Aller-retour</v>
      </c>
      <c r="AY3865" s="1" t="s">
        <v>48</v>
      </c>
    </row>
    <row r="3866" spans="1:143" ht="14.25" customHeight="1" x14ac:dyDescent="0.3">
      <c r="A3866" s="1" t="s">
        <v>4007</v>
      </c>
      <c r="B3866" s="1" t="str">
        <f ca="1">IFERROR(__xludf.DUMMYFUNCTION("GOOGLETRANSLATE(A3866, ""en"", ""fr"")"),"Royal Dutch Shell")</f>
        <v>Royal Dutch Shell</v>
      </c>
      <c r="N3866" s="1" t="s">
        <v>11</v>
      </c>
      <c r="DT3866" s="1" t="s">
        <v>121</v>
      </c>
      <c r="DU3866" s="1" t="s">
        <v>122</v>
      </c>
      <c r="EM3866" s="1" t="s">
        <v>140</v>
      </c>
    </row>
    <row r="3867" spans="1:143" ht="14.25" customHeight="1" x14ac:dyDescent="0.3">
      <c r="A3867" s="1" t="s">
        <v>4008</v>
      </c>
      <c r="B3867" s="1" t="str">
        <f ca="1">IFERROR(__xludf.DUMMYFUNCTION("GOOGLETRANSLATE(A3867, ""en"", ""fr"")"),"RPI")</f>
        <v>RPI</v>
      </c>
      <c r="M3867" s="1" t="s">
        <v>10</v>
      </c>
    </row>
    <row r="3868" spans="1:143" ht="14.25" customHeight="1" x14ac:dyDescent="0.3">
      <c r="A3868" s="1" t="s">
        <v>4009</v>
      </c>
      <c r="B3868" s="1" t="str">
        <f ca="1">IFERROR(__xludf.DUMMYFUNCTION("GOOGLETRANSLATE(A3868, ""en"", ""fr"")"),"rume")</f>
        <v>rume</v>
      </c>
      <c r="AU3868" s="1" t="s">
        <v>44</v>
      </c>
      <c r="BE3868" s="1" t="s">
        <v>54</v>
      </c>
      <c r="BS3868" s="1" t="s">
        <v>68</v>
      </c>
      <c r="DD3868" s="1" t="s">
        <v>105</v>
      </c>
    </row>
    <row r="3869" spans="1:143" ht="14.25" customHeight="1" x14ac:dyDescent="0.3">
      <c r="A3869" s="1" t="s">
        <v>4010</v>
      </c>
      <c r="B3869" s="1" t="str">
        <f ca="1">IFERROR(__xludf.DUMMYFUNCTION("GOOGLETRANSLATE(A3869, ""en"", ""fr"")"),"élan")</f>
        <v>élan</v>
      </c>
      <c r="M3869" s="1" t="s">
        <v>10</v>
      </c>
    </row>
    <row r="3870" spans="1:143" ht="14.25" customHeight="1" x14ac:dyDescent="0.3">
      <c r="A3870" s="1" t="s">
        <v>4011</v>
      </c>
      <c r="B3870" s="1" t="str">
        <f ca="1">IFERROR(__xludf.DUMMYFUNCTION("GOOGLETRANSLATE(A3870, ""en"", ""fr"")"),"Russie")</f>
        <v>Russie</v>
      </c>
      <c r="X3870" s="1" t="s">
        <v>21</v>
      </c>
      <c r="AR3870" s="1" t="s">
        <v>41</v>
      </c>
      <c r="BL3870" s="1" t="s">
        <v>61</v>
      </c>
    </row>
    <row r="3871" spans="1:143" ht="14.25" customHeight="1" x14ac:dyDescent="0.3">
      <c r="A3871" s="1" t="s">
        <v>4012</v>
      </c>
      <c r="B3871" s="1" t="str">
        <f ca="1">IFERROR(__xludf.DUMMYFUNCTION("GOOGLETRANSLATE(A3871, ""en"", ""fr"")"),"Russkoye")</f>
        <v>Russkoye</v>
      </c>
      <c r="AK3871" s="1" t="s">
        <v>34</v>
      </c>
      <c r="BH3871" s="1" t="s">
        <v>57</v>
      </c>
      <c r="BW3871" s="1" t="s">
        <v>72</v>
      </c>
      <c r="DD3871" s="1" t="s">
        <v>105</v>
      </c>
    </row>
    <row r="3872" spans="1:143" ht="14.25" customHeight="1" x14ac:dyDescent="0.3">
      <c r="A3872" s="1" t="s">
        <v>4013</v>
      </c>
      <c r="B3872" s="1" t="str">
        <f ca="1">IFERROR(__xludf.DUMMYFUNCTION("GOOGLETRANSLATE(A3872, ""en"", ""fr"")"),"ceinture rouillée")</f>
        <v>ceinture rouillée</v>
      </c>
      <c r="M3872" s="1" t="s">
        <v>10</v>
      </c>
    </row>
    <row r="3873" spans="1:132" ht="14.25" customHeight="1" x14ac:dyDescent="0.3">
      <c r="A3873" s="1" t="s">
        <v>4014</v>
      </c>
      <c r="B3873" s="1" t="str">
        <f ca="1">IFERROR(__xludf.DUMMYFUNCTION("GOOGLETRANSLATE(A3873, ""en"", ""fr"")"),"Crise S&amp;L")</f>
        <v>Crise S&amp;L</v>
      </c>
      <c r="M3873" s="1" t="s">
        <v>10</v>
      </c>
    </row>
    <row r="3874" spans="1:132" ht="14.25" customHeight="1" x14ac:dyDescent="0.3">
      <c r="A3874" s="1" t="s">
        <v>4015</v>
      </c>
      <c r="B3874" s="1" t="str">
        <f ca="1">IFERROR(__xludf.DUMMYFUNCTION("GOOGLETRANSLATE(A3874, ""en"", ""fr"")"),"Indice de prix S &amp; P / Case-Shiller Home")</f>
        <v>Indice de prix S &amp; P / Case-Shiller Home</v>
      </c>
      <c r="M3874" s="1" t="s">
        <v>10</v>
      </c>
    </row>
    <row r="3875" spans="1:132" ht="14.25" customHeight="1" x14ac:dyDescent="0.3">
      <c r="A3875" s="1" t="s">
        <v>4016</v>
      </c>
      <c r="B3875" s="1" t="str">
        <f ca="1">IFERROR(__xludf.DUMMYFUNCTION("GOOGLETRANSLATE(A3875, ""en"", ""fr"")"),"SABOTAGE")</f>
        <v>SABOTAGE</v>
      </c>
      <c r="D3875" s="1" t="s">
        <v>4963</v>
      </c>
    </row>
    <row r="3876" spans="1:132" ht="14.25" customHeight="1" x14ac:dyDescent="0.3">
      <c r="A3876" s="1" t="s">
        <v>4017</v>
      </c>
      <c r="B3876" s="1" t="str">
        <f ca="1">IFERROR(__xludf.DUMMYFUNCTION("GOOGLETRANSLATE(A3876, ""en"", ""fr"")"),"sabriya")</f>
        <v>sabriya</v>
      </c>
      <c r="AU3876" s="1" t="s">
        <v>44</v>
      </c>
      <c r="BS3876" s="1" t="s">
        <v>68</v>
      </c>
      <c r="DD3876" s="1" t="s">
        <v>105</v>
      </c>
      <c r="DW3876" s="1" t="s">
        <v>124</v>
      </c>
    </row>
    <row r="3877" spans="1:132" ht="14.25" customHeight="1" x14ac:dyDescent="0.3">
      <c r="A3877" s="1" t="s">
        <v>4018</v>
      </c>
      <c r="B3877" s="1" t="str">
        <f ca="1">IFERROR(__xludf.DUMMYFUNCTION("GOOGLETRANSLATE(A3877, ""en"", ""fr"")"),"SACRIFIER")</f>
        <v>SACRIFIER</v>
      </c>
      <c r="D3877" s="1" t="s">
        <v>4963</v>
      </c>
    </row>
    <row r="3878" spans="1:132" ht="14.25" customHeight="1" x14ac:dyDescent="0.3">
      <c r="A3878" s="1" t="s">
        <v>4019</v>
      </c>
      <c r="B3878" s="1" t="str">
        <f ca="1">IFERROR(__xludf.DUMMYFUNCTION("GOOGLETRANSLATE(A3878, ""en"", ""fr"")"),"rapport sacrifice")</f>
        <v>rapport sacrifice</v>
      </c>
      <c r="M3878" s="1" t="s">
        <v>10</v>
      </c>
    </row>
    <row r="3879" spans="1:132" ht="14.25" customHeight="1" x14ac:dyDescent="0.3">
      <c r="A3879" s="1" t="s">
        <v>4020</v>
      </c>
      <c r="B3879" s="1" t="str">
        <f ca="1">IFERROR(__xludf.DUMMYFUNCTION("GOOGLETRANSLATE(A3879, ""en"", ""fr"")"),"SACRIFIÉ")</f>
        <v>SACRIFIÉ</v>
      </c>
      <c r="D3879" s="1" t="s">
        <v>4963</v>
      </c>
    </row>
    <row r="3880" spans="1:132" ht="14.25" customHeight="1" x14ac:dyDescent="0.3">
      <c r="A3880" s="1" t="s">
        <v>4021</v>
      </c>
      <c r="B3880" s="1" t="str">
        <f ca="1">IFERROR(__xludf.DUMMYFUNCTION("GOOGLETRANSLATE(A3880, ""en"", ""fr"")"),"SACRIFICES")</f>
        <v>SACRIFICES</v>
      </c>
      <c r="D3880" s="1" t="s">
        <v>4963</v>
      </c>
    </row>
    <row r="3881" spans="1:132" ht="14.25" customHeight="1" x14ac:dyDescent="0.3">
      <c r="A3881" s="1" t="s">
        <v>4022</v>
      </c>
      <c r="B3881" s="1" t="str">
        <f ca="1">IFERROR(__xludf.DUMMYFUNCTION("GOOGLETRANSLATE(A3881, ""en"", ""fr"")"),"SACRIFICIEL")</f>
        <v>SACRIFICIEL</v>
      </c>
      <c r="D3881" s="1" t="s">
        <v>4963</v>
      </c>
    </row>
    <row r="3882" spans="1:132" ht="14.25" customHeight="1" x14ac:dyDescent="0.3">
      <c r="A3882" s="1" t="s">
        <v>4023</v>
      </c>
      <c r="B3882" s="1" t="str">
        <f ca="1">IFERROR(__xludf.DUMMYFUNCTION("GOOGLETRANSLATE(A3882, ""en"", ""fr"")"),"Sacrification")</f>
        <v>Sacrification</v>
      </c>
      <c r="D3882" s="1" t="s">
        <v>4963</v>
      </c>
    </row>
    <row r="3883" spans="1:132" ht="14.25" customHeight="1" x14ac:dyDescent="0.3">
      <c r="A3883" s="1" t="s">
        <v>4024</v>
      </c>
      <c r="B3883" s="1" t="str">
        <f ca="1">IFERROR(__xludf.DUMMYFUNCTION("GOOGLETRANSLATE(A3883, ""en"", ""fr"")"),"sacroc")</f>
        <v>sacroc</v>
      </c>
      <c r="DD3883" s="1" t="s">
        <v>105</v>
      </c>
      <c r="DF3883" s="1" t="s">
        <v>107</v>
      </c>
      <c r="DK3883" s="1" t="s">
        <v>112</v>
      </c>
    </row>
    <row r="3884" spans="1:132" ht="14.25" customHeight="1" x14ac:dyDescent="0.3">
      <c r="A3884" s="1" t="s">
        <v>4025</v>
      </c>
      <c r="B3884" s="1" t="str">
        <f ca="1">IFERROR(__xludf.DUMMYFUNCTION("GOOGLETRANSLATE(A3884, ""en"", ""fr"")"),"safaniya-khafji")</f>
        <v>safaniya-khafji</v>
      </c>
      <c r="AN3884" s="1" t="s">
        <v>37</v>
      </c>
      <c r="AU3884" s="1" t="s">
        <v>44</v>
      </c>
      <c r="BS3884" s="1" t="s">
        <v>68</v>
      </c>
      <c r="DD3884" s="1" t="s">
        <v>105</v>
      </c>
    </row>
    <row r="3885" spans="1:132" ht="14.25" customHeight="1" x14ac:dyDescent="0.3">
      <c r="A3885" s="1" t="s">
        <v>4026</v>
      </c>
      <c r="B3885" s="1" t="str">
        <f ca="1">IFERROR(__xludf.DUMMYFUNCTION("GOOGLETRANSLATE(A3885, ""en"", ""fr"")"),"Mélange saharien")</f>
        <v>Mélange saharien</v>
      </c>
      <c r="R3885" s="1" t="s">
        <v>15</v>
      </c>
      <c r="CS3885" s="1" t="s">
        <v>94</v>
      </c>
    </row>
    <row r="3886" spans="1:132" ht="14.25" customHeight="1" x14ac:dyDescent="0.3">
      <c r="A3886" s="1" t="s">
        <v>4027</v>
      </c>
      <c r="B3886" s="1" t="str">
        <f ca="1">IFERROR(__xludf.DUMMYFUNCTION("GOOGLETRANSLATE(A3886, ""en"", ""fr"")"),"dit")</f>
        <v>dit</v>
      </c>
      <c r="J3886" s="1" t="s">
        <v>7</v>
      </c>
    </row>
    <row r="3887" spans="1:132" ht="14.25" customHeight="1" x14ac:dyDescent="0.3">
      <c r="A3887" s="1" t="s">
        <v>4028</v>
      </c>
      <c r="B3887" s="1" t="str">
        <f ca="1">IFERROR(__xludf.DUMMYFUNCTION("GOOGLETRANSLATE(A3887, ""en"", ""fr"")"),"raffinerie de Saint John")</f>
        <v>raffinerie de Saint John</v>
      </c>
      <c r="AE3887" s="1" t="s">
        <v>28</v>
      </c>
      <c r="BF3887" s="1" t="s">
        <v>55</v>
      </c>
      <c r="BO3887" s="1" t="s">
        <v>64</v>
      </c>
      <c r="EB3887" s="1" t="s">
        <v>129</v>
      </c>
    </row>
    <row r="3888" spans="1:132" ht="14.25" customHeight="1" x14ac:dyDescent="0.3">
      <c r="A3888" s="1" t="s">
        <v>4029</v>
      </c>
      <c r="B3888" s="1" t="str">
        <f ca="1">IFERROR(__xludf.DUMMYFUNCTION("GOOGLETRANSLATE(A3888, ""en"", ""fr"")"),"sakhalinislands")</f>
        <v>sakhalinislands</v>
      </c>
      <c r="AK3888" s="1" t="s">
        <v>34</v>
      </c>
      <c r="BH3888" s="1" t="s">
        <v>57</v>
      </c>
      <c r="BW3888" s="1" t="s">
        <v>72</v>
      </c>
      <c r="DD3888" s="1" t="s">
        <v>105</v>
      </c>
    </row>
    <row r="3889" spans="1:145" ht="14.25" customHeight="1" x14ac:dyDescent="0.3">
      <c r="A3889" s="1" t="s">
        <v>4030</v>
      </c>
      <c r="B3889" s="1" t="str">
        <f ca="1">IFERROR(__xludf.DUMMYFUNCTION("GOOGLETRANSLATE(A3889, ""en"", ""fr"")"),"les salaires")</f>
        <v>les salaires</v>
      </c>
      <c r="CR3889" s="1" t="s">
        <v>93</v>
      </c>
    </row>
    <row r="3890" spans="1:145" ht="14.25" customHeight="1" x14ac:dyDescent="0.3">
      <c r="A3890" s="1" t="s">
        <v>4031</v>
      </c>
      <c r="B3890" s="1" t="str">
        <f ca="1">IFERROR(__xludf.DUMMYFUNCTION("GOOGLETRANSLATE(A3890, ""en"", ""fr"")"),"prix de vente")</f>
        <v>prix de vente</v>
      </c>
      <c r="M3890" s="1" t="s">
        <v>10</v>
      </c>
    </row>
    <row r="3891" spans="1:145" ht="14.25" customHeight="1" x14ac:dyDescent="0.3">
      <c r="A3891" s="1" t="s">
        <v>4032</v>
      </c>
      <c r="B3891" s="1" t="str">
        <f ca="1">IFERROR(__xludf.DUMMYFUNCTION("GOOGLETRANSLATE(A3891, ""en"", ""fr"")"),"ventes")</f>
        <v>ventes</v>
      </c>
      <c r="CR3891" s="1" t="s">
        <v>93</v>
      </c>
    </row>
    <row r="3892" spans="1:145" ht="14.25" customHeight="1" x14ac:dyDescent="0.3">
      <c r="A3892" s="1" t="s">
        <v>4033</v>
      </c>
      <c r="B3892" s="1" t="str">
        <f ca="1">IFERROR(__xludf.DUMMYFUNCTION("GOOGLETRANSLATE(A3892, ""en"", ""fr"")"),"la croissance des ventes")</f>
        <v>la croissance des ventes</v>
      </c>
      <c r="M3892" s="1" t="s">
        <v>10</v>
      </c>
    </row>
    <row r="3893" spans="1:145" ht="14.25" customHeight="1" x14ac:dyDescent="0.3">
      <c r="A3893" s="1" t="s">
        <v>4034</v>
      </c>
      <c r="B3893" s="1" t="str">
        <f ca="1">IFERROR(__xludf.DUMMYFUNCTION("GOOGLETRANSLATE(A3893, ""en"", ""fr"")"),"valeur de récupération")</f>
        <v>valeur de récupération</v>
      </c>
      <c r="CR3893" s="1" t="s">
        <v>93</v>
      </c>
    </row>
    <row r="3894" spans="1:145" ht="14.25" customHeight="1" x14ac:dyDescent="0.3">
      <c r="A3894" s="1" t="s">
        <v>4035</v>
      </c>
      <c r="B3894" s="1" t="str">
        <f ca="1">IFERROR(__xludf.DUMMYFUNCTION("GOOGLETRANSLATE(A3894, ""en"", ""fr"")"),"même")</f>
        <v>même</v>
      </c>
      <c r="J3894" s="1" t="s">
        <v>7</v>
      </c>
    </row>
    <row r="3895" spans="1:145" ht="14.25" customHeight="1" x14ac:dyDescent="0.3">
      <c r="A3895" s="1" t="s">
        <v>4036</v>
      </c>
      <c r="B3895" s="1" t="str">
        <f ca="1">IFERROR(__xludf.DUMMYFUNCTION("GOOGLETRANSLATE(A3895, ""en"", ""fr"")"),"Ventes à magasins comparables")</f>
        <v>Ventes à magasins comparables</v>
      </c>
      <c r="M3895" s="1" t="s">
        <v>10</v>
      </c>
    </row>
    <row r="3896" spans="1:145" ht="14.25" customHeight="1" x14ac:dyDescent="0.3">
      <c r="A3896" s="1" t="s">
        <v>4037</v>
      </c>
      <c r="B3896" s="1" t="str">
        <f ca="1">IFERROR(__xludf.DUMMYFUNCTION("GOOGLETRANSLATE(A3896, ""en"", ""fr"")"),"Samotlor")</f>
        <v>Samotlor</v>
      </c>
      <c r="AK3896" s="1" t="s">
        <v>34</v>
      </c>
      <c r="BH3896" s="1" t="s">
        <v>57</v>
      </c>
      <c r="BW3896" s="1" t="s">
        <v>72</v>
      </c>
      <c r="DD3896" s="1" t="s">
        <v>105</v>
      </c>
    </row>
    <row r="3897" spans="1:145" ht="14.25" customHeight="1" x14ac:dyDescent="0.3">
      <c r="A3897" s="1" t="s">
        <v>4038</v>
      </c>
      <c r="B3897" s="1" t="str">
        <f ca="1">IFERROR(__xludf.DUMMYFUNCTION("GOOGLETRANSLATE(A3897, ""en"", ""fr"")"),"Santa Barbara")</f>
        <v>Santa Barbara</v>
      </c>
      <c r="R3897" s="1" t="s">
        <v>15</v>
      </c>
      <c r="CS3897" s="1" t="s">
        <v>94</v>
      </c>
    </row>
    <row r="3898" spans="1:145" ht="14.25" customHeight="1" x14ac:dyDescent="0.3">
      <c r="A3898" s="1" t="s">
        <v>4039</v>
      </c>
      <c r="B3898" s="1" t="str">
        <f ca="1">IFERROR(__xludf.DUMMYFUNCTION("GOOGLETRANSLATE(A3898, ""en"", ""fr"")"),"saras")</f>
        <v>saras</v>
      </c>
      <c r="AV3898" s="1" t="s">
        <v>45</v>
      </c>
      <c r="CH3898" s="1" t="s">
        <v>83</v>
      </c>
      <c r="DT3898" s="1" t="s">
        <v>121</v>
      </c>
    </row>
    <row r="3899" spans="1:145" ht="14.25" customHeight="1" x14ac:dyDescent="0.3">
      <c r="A3899" s="1" t="s">
        <v>4040</v>
      </c>
      <c r="B3899" s="1" t="str">
        <f ca="1">IFERROR(__xludf.DUMMYFUNCTION("GOOGLETRANSLATE(A3899, ""en"", ""fr"")"),"acte de Sarbanes-Oxley")</f>
        <v>acte de Sarbanes-Oxley</v>
      </c>
      <c r="M3899" s="1" t="s">
        <v>10</v>
      </c>
    </row>
    <row r="3900" spans="1:145" ht="14.25" customHeight="1" x14ac:dyDescent="0.3">
      <c r="A3900" s="1" t="s">
        <v>4041</v>
      </c>
      <c r="B3900" s="1" t="str">
        <f ca="1">IFERROR(__xludf.DUMMYFUNCTION("GOOGLETRANSLATE(A3900, ""en"", ""fr"")"),"Sarir")</f>
        <v>Sarir</v>
      </c>
      <c r="AU3900" s="1" t="s">
        <v>44</v>
      </c>
      <c r="DD3900" s="1" t="s">
        <v>105</v>
      </c>
      <c r="DM3900" s="1" t="s">
        <v>114</v>
      </c>
      <c r="EO3900" s="1" t="s">
        <v>142</v>
      </c>
    </row>
    <row r="3901" spans="1:145" ht="14.25" customHeight="1" x14ac:dyDescent="0.3">
      <c r="A3901" s="1" t="s">
        <v>4042</v>
      </c>
      <c r="B3901" s="1" t="str">
        <f ca="1">IFERROR(__xludf.DUMMYFUNCTION("GOOGLETRANSLATE(A3901, ""en"", ""fr"")"),"sarro")</f>
        <v>sarro</v>
      </c>
      <c r="AV3901" s="1" t="s">
        <v>45</v>
      </c>
      <c r="BF3901" s="1" t="s">
        <v>55</v>
      </c>
      <c r="CH3901" s="1" t="s">
        <v>83</v>
      </c>
      <c r="EB3901" s="1" t="s">
        <v>129</v>
      </c>
    </row>
    <row r="3902" spans="1:145" ht="14.25" customHeight="1" x14ac:dyDescent="0.3">
      <c r="A3902" s="1" t="s">
        <v>4043</v>
      </c>
      <c r="B3902" s="1" t="str">
        <f ca="1">IFERROR(__xludf.DUMMYFUNCTION("GOOGLETRANSLATE(A3902, ""en"", ""fr"")"),"assis")</f>
        <v>assis</v>
      </c>
      <c r="J3902" s="1" t="s">
        <v>7</v>
      </c>
    </row>
    <row r="3903" spans="1:145" ht="14.25" customHeight="1" x14ac:dyDescent="0.3">
      <c r="A3903" s="1" t="s">
        <v>4044</v>
      </c>
      <c r="B3903" s="1" t="str">
        <f ca="1">IFERROR(__xludf.DUMMYFUNCTION("GOOGLETRANSLATE(A3903, ""en"", ""fr"")"),"Installation satellite")</f>
        <v>Installation satellite</v>
      </c>
      <c r="E3903" s="1" t="s">
        <v>3</v>
      </c>
    </row>
    <row r="3904" spans="1:145" ht="14.25" customHeight="1" x14ac:dyDescent="0.3">
      <c r="A3904" s="1" t="s">
        <v>4045</v>
      </c>
      <c r="B3904" s="1" t="str">
        <f ca="1">IFERROR(__xludf.DUMMYFUNCTION("GOOGLETRANSLATE(A3904, ""en"", ""fr"")"),"SATISFACTION")</f>
        <v>SATISFACTION</v>
      </c>
      <c r="H3904" s="1" t="s">
        <v>4964</v>
      </c>
    </row>
    <row r="3905" spans="1:141" ht="14.25" customHeight="1" x14ac:dyDescent="0.3">
      <c r="A3905" s="1" t="s">
        <v>4046</v>
      </c>
      <c r="B3905" s="1" t="str">
        <f ca="1">IFERROR(__xludf.DUMMYFUNCTION("GOOGLETRANSLATE(A3905, ""en"", ""fr"")"),"De manière satisfaisante")</f>
        <v>De manière satisfaisante</v>
      </c>
      <c r="H3905" s="1" t="s">
        <v>4964</v>
      </c>
    </row>
    <row r="3906" spans="1:141" ht="14.25" customHeight="1" x14ac:dyDescent="0.3">
      <c r="A3906" s="1" t="s">
        <v>4047</v>
      </c>
      <c r="B3906" s="1" t="str">
        <f ca="1">IFERROR(__xludf.DUMMYFUNCTION("GOOGLETRANSLATE(A3906, ""en"", ""fr"")"),"SATISFAISANT")</f>
        <v>SATISFAISANT</v>
      </c>
      <c r="H3906" s="1" t="s">
        <v>4964</v>
      </c>
    </row>
    <row r="3907" spans="1:141" ht="14.25" customHeight="1" x14ac:dyDescent="0.3">
      <c r="A3907" s="1" t="s">
        <v>4048</v>
      </c>
      <c r="B3907" s="1" t="str">
        <f ca="1">IFERROR(__xludf.DUMMYFUNCTION("GOOGLETRANSLATE(A3907, ""en"", ""fr"")"),"SATISFAIT")</f>
        <v>SATISFAIT</v>
      </c>
      <c r="H3907" s="1" t="s">
        <v>4964</v>
      </c>
    </row>
    <row r="3908" spans="1:141" ht="14.25" customHeight="1" x14ac:dyDescent="0.3">
      <c r="A3908" s="1" t="s">
        <v>4049</v>
      </c>
      <c r="B3908" s="1" t="str">
        <f ca="1">IFERROR(__xludf.DUMMYFUNCTION("GOOGLETRANSLATE(A3908, ""en"", ""fr"")"),"Satisfaire")</f>
        <v>Satisfaire</v>
      </c>
      <c r="H3908" s="1" t="s">
        <v>4964</v>
      </c>
    </row>
    <row r="3909" spans="1:141" ht="14.25" customHeight="1" x14ac:dyDescent="0.3">
      <c r="A3909" s="1" t="s">
        <v>4050</v>
      </c>
      <c r="B3909" s="1" t="str">
        <f ca="1">IFERROR(__xludf.DUMMYFUNCTION("GOOGLETRANSLATE(A3909, ""en"", ""fr"")"),"SATISFAIRE")</f>
        <v>SATISFAIRE</v>
      </c>
      <c r="H3909" s="1" t="s">
        <v>4964</v>
      </c>
    </row>
    <row r="3910" spans="1:141" ht="14.25" customHeight="1" x14ac:dyDescent="0.3">
      <c r="A3910" s="1" t="s">
        <v>4051</v>
      </c>
      <c r="B3910" s="1" t="str">
        <f ca="1">IFERROR(__xludf.DUMMYFUNCTION("GOOGLETRANSLATE(A3910, ""en"", ""fr"")"),"SATISFAISANT")</f>
        <v>SATISFAISANT</v>
      </c>
      <c r="H3910" s="1" t="s">
        <v>4964</v>
      </c>
    </row>
    <row r="3911" spans="1:141" ht="14.25" customHeight="1" x14ac:dyDescent="0.3">
      <c r="A3911" s="1" t="s">
        <v>4052</v>
      </c>
      <c r="B3911" s="1" t="str">
        <f ca="1">IFERROR(__xludf.DUMMYFUNCTION("GOOGLETRANSLATE(A3911, ""en"", ""fr"")"),"Arabie Saoudite")</f>
        <v>Arabie Saoudite</v>
      </c>
      <c r="CL3911" s="1" t="s">
        <v>87</v>
      </c>
      <c r="CX3911" s="1" t="s">
        <v>99</v>
      </c>
      <c r="EK3911" s="1" t="s">
        <v>138</v>
      </c>
    </row>
    <row r="3912" spans="1:141" ht="14.25" customHeight="1" x14ac:dyDescent="0.3">
      <c r="A3912" s="1" t="s">
        <v>4053</v>
      </c>
      <c r="B3912" s="1" t="str">
        <f ca="1">IFERROR(__xludf.DUMMYFUNCTION("GOOGLETRANSLATE(A3912, ""en"", ""fr"")"),"Arabie saoudite")</f>
        <v>Arabie saoudite</v>
      </c>
      <c r="R3912" s="1" t="s">
        <v>15</v>
      </c>
      <c r="CS3912" s="1" t="s">
        <v>94</v>
      </c>
    </row>
    <row r="3913" spans="1:141" ht="14.25" customHeight="1" x14ac:dyDescent="0.3">
      <c r="A3913" s="1" t="s">
        <v>4054</v>
      </c>
      <c r="B3913" s="1" t="str">
        <f ca="1">IFERROR(__xludf.DUMMYFUNCTION("GOOGLETRANSLATE(A3913, ""en"", ""fr"")"),"Lumière de l'Arabie saoudite")</f>
        <v>Lumière de l'Arabie saoudite</v>
      </c>
      <c r="R3913" s="1" t="s">
        <v>15</v>
      </c>
      <c r="CS3913" s="1" t="s">
        <v>94</v>
      </c>
    </row>
    <row r="3914" spans="1:141" ht="14.25" customHeight="1" x14ac:dyDescent="0.3">
      <c r="A3914" s="1" t="s">
        <v>4055</v>
      </c>
      <c r="B3914" s="1" t="str">
        <f ca="1">IFERROR(__xludf.DUMMYFUNCTION("GOOGLETRANSLATE(A3914, ""en"", ""fr"")"),"Médium saoudien")</f>
        <v>Médium saoudien</v>
      </c>
      <c r="R3914" s="1" t="s">
        <v>15</v>
      </c>
      <c r="CS3914" s="1" t="s">
        <v>94</v>
      </c>
    </row>
    <row r="3915" spans="1:141" ht="14.25" customHeight="1" x14ac:dyDescent="0.3">
      <c r="A3915" s="1" t="s">
        <v>4056</v>
      </c>
      <c r="B3915" s="1" t="str">
        <f ca="1">IFERROR(__xludf.DUMMYFUNCTION("GOOGLETRANSLATE(A3915, ""en"", ""fr"")"),"raffinerie saoudienne Aramco Yanbu")</f>
        <v>raffinerie saoudienne Aramco Yanbu</v>
      </c>
      <c r="BF3915" s="1" t="s">
        <v>55</v>
      </c>
      <c r="BM3915" s="1" t="s">
        <v>62</v>
      </c>
      <c r="CL3915" s="1" t="s">
        <v>87</v>
      </c>
      <c r="CX3915" s="1" t="s">
        <v>99</v>
      </c>
      <c r="DJ3915" s="1" t="s">
        <v>111</v>
      </c>
    </row>
    <row r="3916" spans="1:141" ht="14.25" customHeight="1" x14ac:dyDescent="0.3">
      <c r="A3916" s="1" t="s">
        <v>4057</v>
      </c>
      <c r="B3916" s="1" t="str">
        <f ca="1">IFERROR(__xludf.DUMMYFUNCTION("GOOGLETRANSLATE(A3916, ""en"", ""fr"")"),"taux d'épargne")</f>
        <v>taux d'épargne</v>
      </c>
      <c r="M3916" s="1" t="s">
        <v>10</v>
      </c>
    </row>
    <row r="3917" spans="1:141" ht="14.25" customHeight="1" x14ac:dyDescent="0.3">
      <c r="A3917" s="1" t="s">
        <v>4058</v>
      </c>
      <c r="B3917" s="1" t="str">
        <f ca="1">IFERROR(__xludf.DUMMYFUNCTION("GOOGLETRANSLATE(A3917, ""en"", ""fr"")"),"scie")</f>
        <v>scie</v>
      </c>
      <c r="J3917" s="1" t="s">
        <v>7</v>
      </c>
    </row>
    <row r="3918" spans="1:141" ht="14.25" customHeight="1" x14ac:dyDescent="0.3">
      <c r="A3918" s="1" t="s">
        <v>4059</v>
      </c>
      <c r="B3918" s="1" t="str">
        <f ca="1">IFERROR(__xludf.DUMMYFUNCTION("GOOGLETRANSLATE(A3918, ""en"", ""fr"")"),"Mélange saxi batuque")</f>
        <v>Mélange saxi batuque</v>
      </c>
      <c r="R3918" s="1" t="s">
        <v>15</v>
      </c>
      <c r="CS3918" s="1" t="s">
        <v>94</v>
      </c>
    </row>
    <row r="3919" spans="1:141" ht="14.25" customHeight="1" x14ac:dyDescent="0.3">
      <c r="A3919" s="1" t="s">
        <v>4060</v>
      </c>
      <c r="B3919" s="1" t="str">
        <f ca="1">IFERROR(__xludf.DUMMYFUNCTION("GOOGLETRANSLATE(A3919, ""en"", ""fr"")"),"dire")</f>
        <v>dire</v>
      </c>
      <c r="J3919" s="1" t="s">
        <v>7</v>
      </c>
    </row>
    <row r="3920" spans="1:141" ht="14.25" customHeight="1" x14ac:dyDescent="0.3">
      <c r="A3920" s="1" t="s">
        <v>4061</v>
      </c>
      <c r="B3920" s="1" t="str">
        <f ca="1">IFERROR(__xludf.DUMMYFUNCTION("GOOGLETRANSLATE(A3920, ""en"", ""fr"")"),"en disant")</f>
        <v>en disant</v>
      </c>
      <c r="J3920" s="1" t="s">
        <v>7</v>
      </c>
    </row>
    <row r="3921" spans="1:97" ht="14.25" customHeight="1" x14ac:dyDescent="0.3">
      <c r="A3921" s="1" t="s">
        <v>4062</v>
      </c>
      <c r="B3921" s="1" t="str">
        <f ca="1">IFERROR(__xludf.DUMMYFUNCTION("GOOGLETRANSLATE(A3921, ""en"", ""fr"")"),"SCANDALEUX")</f>
        <v>SCANDALEUX</v>
      </c>
      <c r="D3921" s="1" t="s">
        <v>4963</v>
      </c>
    </row>
    <row r="3922" spans="1:97" ht="14.25" customHeight="1" x14ac:dyDescent="0.3">
      <c r="A3922" s="1" t="s">
        <v>4063</v>
      </c>
      <c r="B3922" s="1" t="str">
        <f ca="1">IFERROR(__xludf.DUMMYFUNCTION("GOOGLETRANSLATE(A3922, ""en"", ""fr"")"),"Scandales")</f>
        <v>Scandales</v>
      </c>
      <c r="D3922" s="1" t="s">
        <v>4963</v>
      </c>
    </row>
    <row r="3923" spans="1:97" ht="14.25" customHeight="1" x14ac:dyDescent="0.3">
      <c r="A3923" s="1" t="s">
        <v>4064</v>
      </c>
      <c r="B3923" s="1" t="str">
        <f ca="1">IFERROR(__xludf.DUMMYFUNCTION("GOOGLETRANSLATE(A3923, ""en"", ""fr"")"),"Mélange de schiehallion")</f>
        <v>Mélange de schiehallion</v>
      </c>
      <c r="R3923" s="1" t="s">
        <v>15</v>
      </c>
      <c r="CS3923" s="1" t="s">
        <v>94</v>
      </c>
    </row>
    <row r="3924" spans="1:97" ht="14.25" customHeight="1" x14ac:dyDescent="0.3">
      <c r="A3924" s="1" t="s">
        <v>4065</v>
      </c>
      <c r="B3924" s="1" t="str">
        <f ca="1">IFERROR(__xludf.DUMMYFUNCTION("GOOGLETRANSLATE(A3924, ""en"", ""fr"")"),"SCRUTER")</f>
        <v>SCRUTER</v>
      </c>
      <c r="D3924" s="1" t="s">
        <v>4963</v>
      </c>
    </row>
    <row r="3925" spans="1:97" ht="14.25" customHeight="1" x14ac:dyDescent="0.3">
      <c r="A3925" s="1" t="s">
        <v>4066</v>
      </c>
      <c r="B3925" s="1" t="str">
        <f ca="1">IFERROR(__xludf.DUMMYFUNCTION("GOOGLETRANSLATE(A3925, ""en"", ""fr"")"),"Examiné")</f>
        <v>Examiné</v>
      </c>
      <c r="D3925" s="1" t="s">
        <v>4963</v>
      </c>
    </row>
    <row r="3926" spans="1:97" ht="14.25" customHeight="1" x14ac:dyDescent="0.3">
      <c r="A3926" s="1" t="s">
        <v>4067</v>
      </c>
      <c r="B3926" s="1" t="str">
        <f ca="1">IFERROR(__xludf.DUMMYFUNCTION("GOOGLETRANSLATE(A3926, ""en"", ""fr"")"),"Examine")</f>
        <v>Examine</v>
      </c>
      <c r="D3926" s="1" t="s">
        <v>4963</v>
      </c>
    </row>
    <row r="3927" spans="1:97" ht="14.25" customHeight="1" x14ac:dyDescent="0.3">
      <c r="A3927" s="1" t="s">
        <v>4068</v>
      </c>
      <c r="B3927" s="1" t="str">
        <f ca="1">IFERROR(__xludf.DUMMYFUNCTION("GOOGLETRANSLATE(A3927, ""en"", ""fr"")"),"Scrutin")</f>
        <v>Scrutin</v>
      </c>
      <c r="D3927" s="1" t="s">
        <v>4963</v>
      </c>
    </row>
    <row r="3928" spans="1:97" ht="14.25" customHeight="1" x14ac:dyDescent="0.3">
      <c r="A3928" s="1" t="s">
        <v>4069</v>
      </c>
      <c r="B3928" s="1" t="str">
        <f ca="1">IFERROR(__xludf.DUMMYFUNCTION("GOOGLETRANSLATE(A3928, ""en"", ""fr"")"),"EXAMEN MINUTIEUX")</f>
        <v>EXAMEN MINUTIEUX</v>
      </c>
      <c r="D3928" s="1" t="s">
        <v>4963</v>
      </c>
    </row>
    <row r="3929" spans="1:97" ht="14.25" customHeight="1" x14ac:dyDescent="0.3">
      <c r="A3929" s="1" t="s">
        <v>4070</v>
      </c>
      <c r="B3929" s="1" t="str">
        <f ca="1">IFERROR(__xludf.DUMMYFUNCTION("GOOGLETRANSLATE(A3929, ""en"", ""fr"")"),"taux de crédit saisonnier")</f>
        <v>taux de crédit saisonnier</v>
      </c>
      <c r="M3929" s="1" t="s">
        <v>10</v>
      </c>
    </row>
    <row r="3930" spans="1:97" ht="14.25" customHeight="1" x14ac:dyDescent="0.3">
      <c r="A3930" s="1" t="s">
        <v>4071</v>
      </c>
      <c r="B3930" s="1" t="str">
        <f ca="1">IFERROR(__xludf.DUMMYFUNCTION("GOOGLETRANSLATE(A3930, ""en"", ""fr"")"),"saisonnalité")</f>
        <v>saisonnalité</v>
      </c>
      <c r="M3930" s="1" t="s">
        <v>10</v>
      </c>
    </row>
    <row r="3931" spans="1:97" ht="14.25" customHeight="1" x14ac:dyDescent="0.3">
      <c r="A3931" s="1" t="s">
        <v>4072</v>
      </c>
      <c r="B3931" s="1" t="str">
        <f ca="1">IFERROR(__xludf.DUMMYFUNCTION("GOOGLETRANSLATE(A3931, ""en"", ""fr"")"),"ajusté de façon saisonnière")</f>
        <v>ajusté de façon saisonnière</v>
      </c>
      <c r="M3931" s="1" t="s">
        <v>10</v>
      </c>
    </row>
    <row r="3932" spans="1:97" ht="14.25" customHeight="1" x14ac:dyDescent="0.3">
      <c r="A3932" s="1" t="s">
        <v>4073</v>
      </c>
      <c r="B3932" s="1" t="str">
        <f ca="1">IFERROR(__xludf.DUMMYFUNCTION("GOOGLETRANSLATE(A3932, ""en"", ""fr"")"),"Reprise secondaire")</f>
        <v>Reprise secondaire</v>
      </c>
      <c r="E3932" s="1" t="s">
        <v>3</v>
      </c>
    </row>
    <row r="3933" spans="1:97" ht="14.25" customHeight="1" x14ac:dyDescent="0.3">
      <c r="A3933" s="1" t="s">
        <v>4074</v>
      </c>
      <c r="B3933" s="1" t="str">
        <f ca="1">IFERROR(__xludf.DUMMYFUNCTION("GOOGLETRANSLATE(A3933, ""en"", ""fr"")"),"SECRET")</f>
        <v>SECRET</v>
      </c>
      <c r="D3933" s="1" t="s">
        <v>4963</v>
      </c>
    </row>
    <row r="3934" spans="1:97" ht="14.25" customHeight="1" x14ac:dyDescent="0.3">
      <c r="A3934" s="1" t="s">
        <v>4075</v>
      </c>
      <c r="B3934" s="1" t="str">
        <f ca="1">IFERROR(__xludf.DUMMYFUNCTION("GOOGLETRANSLATE(A3934, ""en"", ""fr"")"),"ventilation du secteur")</f>
        <v>ventilation du secteur</v>
      </c>
      <c r="M3934" s="1" t="s">
        <v>10</v>
      </c>
    </row>
    <row r="3935" spans="1:97" ht="14.25" customHeight="1" x14ac:dyDescent="0.3">
      <c r="A3935" s="1" t="s">
        <v>4076</v>
      </c>
      <c r="B3935" s="1" t="str">
        <f ca="1">IFERROR(__xludf.DUMMYFUNCTION("GOOGLETRANSLATE(A3935, ""en"", ""fr"")"),"Commission de Sécurité et d'Echanges")</f>
        <v>Commission de Sécurité et d'Echanges</v>
      </c>
      <c r="CR3935" s="1" t="s">
        <v>93</v>
      </c>
    </row>
    <row r="3936" spans="1:97" ht="14.25" customHeight="1" x14ac:dyDescent="0.3">
      <c r="A3936" s="1" t="s">
        <v>4077</v>
      </c>
      <c r="B3936" s="1" t="str">
        <f ca="1">IFERROR(__xludf.DUMMYFUNCTION("GOOGLETRANSLATE(A3936, ""en"", ""fr"")"),"Association des marchés de l'industrie des valeurs mobilières et financiers")</f>
        <v>Association des marchés de l'industrie des valeurs mobilières et financiers</v>
      </c>
      <c r="M3936" s="1" t="s">
        <v>10</v>
      </c>
    </row>
    <row r="3937" spans="1:97" ht="14.25" customHeight="1" x14ac:dyDescent="0.3">
      <c r="A3937" s="1" t="s">
        <v>4078</v>
      </c>
      <c r="B3937" s="1" t="str">
        <f ca="1">IFERROR(__xludf.DUMMYFUNCTION("GOOGLETRANSLATE(A3937, ""en"", ""fr"")"),"titrisation")</f>
        <v>titrisation</v>
      </c>
      <c r="CR3937" s="1" t="s">
        <v>93</v>
      </c>
    </row>
    <row r="3938" spans="1:97" ht="14.25" customHeight="1" x14ac:dyDescent="0.3">
      <c r="A3938" s="1" t="s">
        <v>4079</v>
      </c>
      <c r="B3938" s="1" t="str">
        <f ca="1">IFERROR(__xludf.DUMMYFUNCTION("GOOGLETRANSLATE(A3938, ""en"", ""fr"")"),"bassin sédimentaire")</f>
        <v>bassin sédimentaire</v>
      </c>
      <c r="CS3938" s="1" t="s">
        <v>94</v>
      </c>
    </row>
    <row r="3939" spans="1:97" ht="14.25" customHeight="1" x14ac:dyDescent="0.3">
      <c r="A3939" s="1" t="s">
        <v>4080</v>
      </c>
      <c r="B3939" s="1" t="str">
        <f ca="1">IFERROR(__xludf.DUMMYFUNCTION("GOOGLETRANSLATE(A3939, ""en"", ""fr"")"),"Roche sédimentaire")</f>
        <v>Roche sédimentaire</v>
      </c>
      <c r="CS3939" s="1" t="s">
        <v>94</v>
      </c>
    </row>
    <row r="3940" spans="1:97" ht="14.25" customHeight="1" x14ac:dyDescent="0.3">
      <c r="A3940" s="1" t="s">
        <v>4081</v>
      </c>
      <c r="B3940" s="1" t="str">
        <f ca="1">IFERROR(__xludf.DUMMYFUNCTION("GOOGLETRANSLATE(A3940, ""en"", ""fr"")"),"sédiments")</f>
        <v>sédiments</v>
      </c>
      <c r="CS3940" s="1" t="s">
        <v>94</v>
      </c>
    </row>
    <row r="3941" spans="1:97" ht="14.25" customHeight="1" x14ac:dyDescent="0.3">
      <c r="A3941" s="1" t="s">
        <v>4082</v>
      </c>
      <c r="B3941" s="1" t="str">
        <f ca="1">IFERROR(__xludf.DUMMYFUNCTION("GOOGLETRANSLATE(A3941, ""en"", ""fr"")"),"voir")</f>
        <v>voir</v>
      </c>
      <c r="J3941" s="1" t="s">
        <v>7</v>
      </c>
    </row>
    <row r="3942" spans="1:97" ht="14.25" customHeight="1" x14ac:dyDescent="0.3">
      <c r="A3942" s="1" t="s">
        <v>4083</v>
      </c>
      <c r="B3942" s="1" t="str">
        <f ca="1">IFERROR(__xludf.DUMMYFUNCTION("GOOGLETRANSLATE(A3942, ""en"", ""fr"")"),"vu")</f>
        <v>vu</v>
      </c>
      <c r="J3942" s="1" t="s">
        <v>7</v>
      </c>
    </row>
    <row r="3943" spans="1:97" ht="14.25" customHeight="1" x14ac:dyDescent="0.3">
      <c r="A3943" s="1" t="s">
        <v>4084</v>
      </c>
      <c r="B3943" s="1" t="str">
        <f ca="1">IFERROR(__xludf.DUMMYFUNCTION("GOOGLETRANSLATE(A3943, ""en"", ""fr"")"),"voir")</f>
        <v>voir</v>
      </c>
      <c r="J3943" s="1" t="s">
        <v>7</v>
      </c>
    </row>
    <row r="3944" spans="1:97" ht="14.25" customHeight="1" x14ac:dyDescent="0.3">
      <c r="A3944" s="1" t="s">
        <v>4085</v>
      </c>
      <c r="B3944" s="1" t="str">
        <f ca="1">IFERROR(__xludf.DUMMYFUNCTION("GOOGLETRANSLATE(A3944, ""en"", ""fr"")"),"SEG 17 mélange")</f>
        <v>SEG 17 mélange</v>
      </c>
      <c r="R3944" s="1" t="s">
        <v>15</v>
      </c>
      <c r="CS3944" s="1" t="s">
        <v>94</v>
      </c>
    </row>
    <row r="3945" spans="1:97" ht="14.25" customHeight="1" x14ac:dyDescent="0.3">
      <c r="A3945" s="1" t="s">
        <v>4086</v>
      </c>
      <c r="B3945" s="1" t="str">
        <f ca="1">IFERROR(__xludf.DUMMYFUNCTION("GOOGLETRANSLATE(A3945, ""en"", ""fr"")"),"analyse sismique")</f>
        <v>analyse sismique</v>
      </c>
      <c r="CS3945" s="1" t="s">
        <v>94</v>
      </c>
    </row>
    <row r="3946" spans="1:97" ht="14.25" customHeight="1" x14ac:dyDescent="0.3">
      <c r="A3946" s="1" t="s">
        <v>4087</v>
      </c>
      <c r="B3946" s="1" t="str">
        <f ca="1">IFERROR(__xludf.DUMMYFUNCTION("GOOGLETRANSLATE(A3946, ""en"", ""fr"")"),"Relevés sismiques")</f>
        <v>Relevés sismiques</v>
      </c>
      <c r="AY3946" s="1" t="s">
        <v>48</v>
      </c>
    </row>
    <row r="3947" spans="1:97" ht="14.25" customHeight="1" x14ac:dyDescent="0.3">
      <c r="A3947" s="1" t="s">
        <v>4088</v>
      </c>
      <c r="B3947" s="1" t="str">
        <f ca="1">IFERROR(__xludf.DUMMYFUNCTION("GOOGLETRANSLATE(A3947, ""en"", ""fr"")"),"SAISIR")</f>
        <v>SAISIR</v>
      </c>
      <c r="D3947" s="1" t="s">
        <v>4963</v>
      </c>
    </row>
    <row r="3948" spans="1:97" ht="14.25" customHeight="1" x14ac:dyDescent="0.3">
      <c r="A3948" s="1" t="s">
        <v>4089</v>
      </c>
      <c r="B3948" s="1" t="str">
        <f ca="1">IFERROR(__xludf.DUMMYFUNCTION("GOOGLETRANSLATE(A3948, ""en"", ""fr"")"),"Saisi")</f>
        <v>Saisi</v>
      </c>
      <c r="D3948" s="1" t="s">
        <v>4963</v>
      </c>
    </row>
    <row r="3949" spans="1:97" ht="14.25" customHeight="1" x14ac:dyDescent="0.3">
      <c r="A3949" s="1" t="s">
        <v>4090</v>
      </c>
      <c r="B3949" s="1" t="str">
        <f ca="1">IFERROR(__xludf.DUMMYFUNCTION("GOOGLETRANSLATE(A3949, ""en"", ""fr"")"),"Saisir")</f>
        <v>Saisir</v>
      </c>
      <c r="D3949" s="1" t="s">
        <v>4963</v>
      </c>
    </row>
    <row r="3950" spans="1:97" ht="14.25" customHeight="1" x14ac:dyDescent="0.3">
      <c r="A3950" s="1" t="s">
        <v>4091</v>
      </c>
      <c r="B3950" s="1" t="str">
        <f ca="1">IFERROR(__xludf.DUMMYFUNCTION("GOOGLETRANSLATE(A3950, ""en"", ""fr"")"),"SAISISSANT")</f>
        <v>SAISISSANT</v>
      </c>
      <c r="D3950" s="1" t="s">
        <v>4963</v>
      </c>
    </row>
    <row r="3951" spans="1:97" ht="14.25" customHeight="1" x14ac:dyDescent="0.3">
      <c r="A3951" s="1" t="s">
        <v>4092</v>
      </c>
      <c r="B3951" s="1" t="str">
        <f ca="1">IFERROR(__xludf.DUMMYFUNCTION("GOOGLETRANSLATE(A3951, ""en"", ""fr"")"),"plate-forme d'auto-évaluation")</f>
        <v>plate-forme d'auto-évaluation</v>
      </c>
      <c r="CS3951" s="1" t="s">
        <v>94</v>
      </c>
    </row>
    <row r="3952" spans="1:97" ht="14.25" customHeight="1" x14ac:dyDescent="0.3">
      <c r="A3952" s="1" t="s">
        <v>4093</v>
      </c>
      <c r="B3952" s="1" t="str">
        <f ca="1">IFERROR(__xludf.DUMMYFUNCTION("GOOGLETRANSLATE(A3952, ""en"", ""fr"")"),"Marché du vendeur")</f>
        <v>Marché du vendeur</v>
      </c>
      <c r="M3952" s="1" t="s">
        <v>10</v>
      </c>
    </row>
    <row r="3953" spans="1:145" ht="14.25" customHeight="1" x14ac:dyDescent="0.3">
      <c r="A3953" s="1" t="s">
        <v>4094</v>
      </c>
      <c r="B3953" s="1" t="str">
        <f ca="1">IFERROR(__xludf.DUMMYFUNCTION("GOOGLETRANSLATE(A3953, ""en"", ""fr"")"),"Sénipah")</f>
        <v>Sénipah</v>
      </c>
      <c r="R3953" s="1" t="s">
        <v>15</v>
      </c>
      <c r="CS3953" s="1" t="s">
        <v>94</v>
      </c>
    </row>
    <row r="3954" spans="1:145" ht="14.25" customHeight="1" x14ac:dyDescent="0.3">
      <c r="A3954" s="1" t="s">
        <v>4095</v>
      </c>
      <c r="B3954" s="1" t="str">
        <f ca="1">IFERROR(__xludf.DUMMYFUNCTION("GOOGLETRANSLATE(A3954, ""en"", ""fr"")"),"Condamné")</f>
        <v>Condamné</v>
      </c>
      <c r="D3954" s="1" t="s">
        <v>4963</v>
      </c>
    </row>
    <row r="3955" spans="1:145" ht="14.25" customHeight="1" x14ac:dyDescent="0.3">
      <c r="A3955" s="1" t="s">
        <v>4096</v>
      </c>
      <c r="B3955" s="1" t="str">
        <f ca="1">IFERROR(__xludf.DUMMYFUNCTION("GOOGLETRANSLATE(A3955, ""en"", ""fr"")"),"Condamnation")</f>
        <v>Condamnation</v>
      </c>
      <c r="D3955" s="1" t="s">
        <v>4963</v>
      </c>
    </row>
    <row r="3956" spans="1:145" ht="14.25" customHeight="1" x14ac:dyDescent="0.3">
      <c r="A3956" s="1" t="s">
        <v>4097</v>
      </c>
      <c r="B3956" s="1" t="str">
        <f ca="1">IFERROR(__xludf.DUMMYFUNCTION("GOOGLETRANSLATE(A3956, ""en"", ""fr"")"),"séparation")</f>
        <v>séparation</v>
      </c>
      <c r="CS3956" s="1" t="s">
        <v>94</v>
      </c>
    </row>
    <row r="3957" spans="1:145" ht="14.25" customHeight="1" x14ac:dyDescent="0.3">
      <c r="A3957" s="1" t="s">
        <v>4098</v>
      </c>
      <c r="B3957" s="1" t="str">
        <f ca="1">IFERROR(__xludf.DUMMYFUNCTION("GOOGLETRANSLATE(A3957, ""en"", ""fr"")"),"séparateur")</f>
        <v>séparateur</v>
      </c>
      <c r="CS3957" s="1" t="s">
        <v>94</v>
      </c>
    </row>
    <row r="3958" spans="1:145" ht="14.25" customHeight="1" x14ac:dyDescent="0.3">
      <c r="A3958" s="1" t="s">
        <v>4099</v>
      </c>
      <c r="B3958" s="1" t="str">
        <f ca="1">IFERROR(__xludf.DUMMYFUNCTION("GOOGLETRANSLATE(A3958, ""en"", ""fr"")"),"sept")</f>
        <v>sept</v>
      </c>
      <c r="J3958" s="1" t="s">
        <v>7</v>
      </c>
    </row>
    <row r="3959" spans="1:145" ht="14.25" customHeight="1" x14ac:dyDescent="0.3">
      <c r="A3959" s="1" t="s">
        <v>4100</v>
      </c>
      <c r="B3959" s="1" t="str">
        <f ca="1">IFERROR(__xludf.DUMMYFUNCTION("GOOGLETRANSLATE(A3959, ""en"", ""fr"")"),"septembre")</f>
        <v>septembre</v>
      </c>
      <c r="J3959" s="1" t="s">
        <v>7</v>
      </c>
    </row>
    <row r="3960" spans="1:145" ht="14.25" customHeight="1" x14ac:dyDescent="0.3">
      <c r="A3960" s="1" t="s">
        <v>4101</v>
      </c>
      <c r="B3960" s="1" t="str">
        <f ca="1">IFERROR(__xludf.DUMMYFUNCTION("GOOGLETRANSLATE(A3960, ""en"", ""fr"")"),"séquentiel")</f>
        <v>séquentiel</v>
      </c>
      <c r="M3960" s="1" t="s">
        <v>10</v>
      </c>
    </row>
    <row r="3961" spans="1:145" ht="14.25" customHeight="1" x14ac:dyDescent="0.3">
      <c r="A3961" s="1" t="s">
        <v>4102</v>
      </c>
      <c r="B3961" s="1" t="str">
        <f ca="1">IFERROR(__xludf.DUMMYFUNCTION("GOOGLETRANSLATE(A3961, ""en"", ""fr"")"),"Seria Light")</f>
        <v>Seria Light</v>
      </c>
      <c r="R3961" s="1" t="s">
        <v>15</v>
      </c>
      <c r="CS3961" s="1" t="s">
        <v>94</v>
      </c>
    </row>
    <row r="3962" spans="1:145" ht="14.25" customHeight="1" x14ac:dyDescent="0.3">
      <c r="A3962" s="1" t="s">
        <v>4103</v>
      </c>
      <c r="B3962" s="1" t="str">
        <f ca="1">IFERROR(__xludf.DUMMYFUNCTION("GOOGLETRANSLATE(A3962, ""en"", ""fr"")"),"Exportation de la lumière Seria")</f>
        <v>Exportation de la lumière Seria</v>
      </c>
      <c r="R3962" s="1" t="s">
        <v>15</v>
      </c>
      <c r="CS3962" s="1" t="s">
        <v>94</v>
      </c>
    </row>
    <row r="3963" spans="1:145" ht="14.25" customHeight="1" x14ac:dyDescent="0.3">
      <c r="A3963" s="1" t="s">
        <v>4104</v>
      </c>
      <c r="B3963" s="1" t="str">
        <f ca="1">IFERROR(__xludf.DUMMYFUNCTION("GOOGLETRANSLATE(A3963, ""en"", ""fr"")"),"SÉRIEUX")</f>
        <v>SÉRIEUX</v>
      </c>
      <c r="D3963" s="1" t="s">
        <v>4963</v>
      </c>
    </row>
    <row r="3964" spans="1:145" ht="14.25" customHeight="1" x14ac:dyDescent="0.3">
      <c r="A3964" s="1" t="s">
        <v>4105</v>
      </c>
      <c r="B3964" s="1" t="str">
        <f ca="1">IFERROR(__xludf.DUMMYFUNCTION("GOOGLETRANSLATE(A3964, ""en"", ""fr"")"),"SÉRIEUSEMENT")</f>
        <v>SÉRIEUSEMENT</v>
      </c>
      <c r="D3964" s="1" t="s">
        <v>4963</v>
      </c>
    </row>
    <row r="3965" spans="1:145" ht="14.25" customHeight="1" x14ac:dyDescent="0.3">
      <c r="A3965" s="1" t="s">
        <v>4106</v>
      </c>
      <c r="B3965" s="1" t="str">
        <f ca="1">IFERROR(__xludf.DUMMYFUNCTION("GOOGLETRANSLATE(A3965, ""en"", ""fr"")"),"GRAVITÉ")</f>
        <v>GRAVITÉ</v>
      </c>
      <c r="D3965" s="1" t="s">
        <v>4963</v>
      </c>
    </row>
    <row r="3966" spans="1:145" ht="14.25" customHeight="1" x14ac:dyDescent="0.3">
      <c r="A3966" s="1" t="s">
        <v>4107</v>
      </c>
      <c r="B3966" s="1" t="str">
        <f ca="1">IFERROR(__xludf.DUMMYFUNCTION("GOOGLETRANSLATE(A3966, ""en"", ""fr"")"),"séri")</f>
        <v>séri</v>
      </c>
      <c r="AU3966" s="1" t="s">
        <v>44</v>
      </c>
      <c r="DD3966" s="1" t="s">
        <v>105</v>
      </c>
      <c r="DM3966" s="1" t="s">
        <v>114</v>
      </c>
      <c r="EO3966" s="1" t="s">
        <v>142</v>
      </c>
    </row>
    <row r="3967" spans="1:145" ht="14.25" customHeight="1" x14ac:dyDescent="0.3">
      <c r="A3967" s="1" t="s">
        <v>4108</v>
      </c>
      <c r="B3967" s="1" t="str">
        <f ca="1">IFERROR(__xludf.DUMMYFUNCTION("GOOGLETRANSLATE(A3967, ""en"", ""fr"")"),"REVERS")</f>
        <v>REVERS</v>
      </c>
      <c r="D3967" s="1" t="s">
        <v>4963</v>
      </c>
    </row>
    <row r="3968" spans="1:145" ht="14.25" customHeight="1" x14ac:dyDescent="0.3">
      <c r="A3968" s="1" t="s">
        <v>4109</v>
      </c>
      <c r="B3968" s="1" t="str">
        <f ca="1">IFERROR(__xludf.DUMMYFUNCTION("GOOGLETRANSLATE(A3968, ""en"", ""fr"")"),"Revers")</f>
        <v>Revers</v>
      </c>
      <c r="D3968" s="1" t="s">
        <v>4963</v>
      </c>
    </row>
    <row r="3969" spans="1:136" ht="14.25" customHeight="1" x14ac:dyDescent="0.3">
      <c r="A3969" s="1" t="s">
        <v>4110</v>
      </c>
      <c r="B3969" s="1" t="str">
        <f ca="1">IFERROR(__xludf.DUMMYFUNCTION("GOOGLETRANSLATE(A3969, ""en"", ""fr"")"),"risque de règlement")</f>
        <v>risque de règlement</v>
      </c>
      <c r="EF3969" s="1" t="s">
        <v>133</v>
      </c>
    </row>
    <row r="3970" spans="1:136" ht="14.25" customHeight="1" x14ac:dyDescent="0.3">
      <c r="A3970" s="1" t="s">
        <v>4111</v>
      </c>
      <c r="B3970" s="1" t="str">
        <f ca="1">IFERROR(__xludf.DUMMYFUNCTION("GOOGLETRANSLATE(A3970, ""en"", ""fr"")"),"ROMPRE")</f>
        <v>ROMPRE</v>
      </c>
      <c r="D3970" s="1" t="s">
        <v>4963</v>
      </c>
    </row>
    <row r="3971" spans="1:136" ht="14.25" customHeight="1" x14ac:dyDescent="0.3">
      <c r="A3971" s="1" t="s">
        <v>4112</v>
      </c>
      <c r="B3971" s="1" t="str">
        <f ca="1">IFERROR(__xludf.DUMMYFUNCTION("GOOGLETRANSLATE(A3971, ""en"", ""fr"")"),"GRAVE")</f>
        <v>GRAVE</v>
      </c>
      <c r="D3971" s="1" t="s">
        <v>4963</v>
      </c>
    </row>
    <row r="3972" spans="1:136" ht="14.25" customHeight="1" x14ac:dyDescent="0.3">
      <c r="A3972" s="1" t="s">
        <v>4113</v>
      </c>
      <c r="B3972" s="1" t="str">
        <f ca="1">IFERROR(__xludf.DUMMYFUNCTION("GOOGLETRANSLATE(A3972, ""en"", ""fr"")"),"Coupé")</f>
        <v>Coupé</v>
      </c>
      <c r="D3972" s="1" t="s">
        <v>4963</v>
      </c>
    </row>
    <row r="3973" spans="1:136" ht="14.25" customHeight="1" x14ac:dyDescent="0.3">
      <c r="A3973" s="1" t="s">
        <v>4114</v>
      </c>
      <c r="B3973" s="1" t="str">
        <f ca="1">IFERROR(__xludf.DUMMYFUNCTION("GOOGLETRANSLATE(A3973, ""en"", ""fr"")"),"GRAVEMENT")</f>
        <v>GRAVEMENT</v>
      </c>
      <c r="D3973" s="1" t="s">
        <v>4963</v>
      </c>
    </row>
    <row r="3974" spans="1:136" ht="14.25" customHeight="1" x14ac:dyDescent="0.3">
      <c r="A3974" s="1" t="s">
        <v>4115</v>
      </c>
      <c r="B3974" s="1" t="str">
        <f ca="1">IFERROR(__xludf.DUMMYFUNCTION("GOOGLETRANSLATE(A3974, ""en"", ""fr"")"),"Sévérités")</f>
        <v>Sévérités</v>
      </c>
      <c r="D3974" s="1" t="s">
        <v>4963</v>
      </c>
    </row>
    <row r="3975" spans="1:136" ht="14.25" customHeight="1" x14ac:dyDescent="0.3">
      <c r="A3975" s="1" t="s">
        <v>4116</v>
      </c>
      <c r="B3975" s="1" t="str">
        <f ca="1">IFERROR(__xludf.DUMMYFUNCTION("GOOGLETRANSLATE(A3975, ""en"", ""fr"")"),"GRAVITÉ")</f>
        <v>GRAVITÉ</v>
      </c>
      <c r="D3975" s="1" t="s">
        <v>4963</v>
      </c>
    </row>
    <row r="3976" spans="1:136" ht="14.25" customHeight="1" x14ac:dyDescent="0.3">
      <c r="A3976" s="1" t="s">
        <v>4117</v>
      </c>
      <c r="B3976" s="1" t="str">
        <f ca="1">IFERROR(__xludf.DUMMYFUNCTION("GOOGLETRANSLATE(A3976, ""en"", ""fr"")"),"Shah Deniz")</f>
        <v>Shah Deniz</v>
      </c>
      <c r="AK3976" s="1" t="s">
        <v>34</v>
      </c>
      <c r="AT3976" s="1" t="s">
        <v>43</v>
      </c>
      <c r="DD3976" s="1" t="s">
        <v>105</v>
      </c>
    </row>
    <row r="3977" spans="1:136" ht="14.25" customHeight="1" x14ac:dyDescent="0.3">
      <c r="A3977" s="1" t="s">
        <v>4118</v>
      </c>
      <c r="B3977" s="1" t="str">
        <f ca="1">IFERROR(__xludf.DUMMYFUNCTION("GOOGLETRANSLATE(A3977, ""en"", ""fr"")"),"Condensat Shah Deniz")</f>
        <v>Condensat Shah Deniz</v>
      </c>
      <c r="R3977" s="1" t="s">
        <v>15</v>
      </c>
      <c r="CS3977" s="1" t="s">
        <v>94</v>
      </c>
    </row>
    <row r="3978" spans="1:136" ht="14.25" customHeight="1" x14ac:dyDescent="0.3">
      <c r="A3978" s="1" t="s">
        <v>4119</v>
      </c>
      <c r="B3978" s="1" t="str">
        <f ca="1">IFERROR(__xludf.DUMMYFUNCTION("GOOGLETRANSLATE(A3978, ""en"", ""fr"")"),"Schiste")</f>
        <v>Schiste</v>
      </c>
      <c r="AY3978" s="1" t="s">
        <v>48</v>
      </c>
    </row>
    <row r="3979" spans="1:136" ht="14.25" customHeight="1" x14ac:dyDescent="0.3">
      <c r="A3979" s="1" t="s">
        <v>4120</v>
      </c>
      <c r="B3979" s="1" t="str">
        <f ca="1">IFERROR(__xludf.DUMMYFUNCTION("GOOGLETRANSLATE(A3979, ""en"", ""fr"")"),"devoir")</f>
        <v>devoir</v>
      </c>
      <c r="J3979" s="1" t="s">
        <v>7</v>
      </c>
    </row>
    <row r="3980" spans="1:136" ht="14.25" customHeight="1" x14ac:dyDescent="0.3">
      <c r="A3980" s="1" t="s">
        <v>4121</v>
      </c>
      <c r="B3980" s="1" t="str">
        <f ca="1">IFERROR(__xludf.DUMMYFUNCTION("GOOGLETRANSLATE(A3980, ""en"", ""fr"")"),"partager")</f>
        <v>partager</v>
      </c>
      <c r="CR3980" s="1" t="s">
        <v>93</v>
      </c>
    </row>
    <row r="3981" spans="1:136" ht="14.25" customHeight="1" x14ac:dyDescent="0.3">
      <c r="A3981" s="1" t="s">
        <v>4122</v>
      </c>
      <c r="B3981" s="1" t="str">
        <f ca="1">IFERROR(__xludf.DUMMYFUNCTION("GOOGLETRANSLATE(A3981, ""en"", ""fr"")"),"capitaux propres des actionnaires")</f>
        <v>capitaux propres des actionnaires</v>
      </c>
      <c r="CR3981" s="1" t="s">
        <v>93</v>
      </c>
    </row>
    <row r="3982" spans="1:136" ht="14.25" customHeight="1" x14ac:dyDescent="0.3">
      <c r="A3982" s="1" t="s">
        <v>4123</v>
      </c>
      <c r="B3982" s="1" t="str">
        <f ca="1">IFERROR(__xludf.DUMMYFUNCTION("GOOGLETRANSLATE(A3982, ""en"", ""fr"")"),"actions")</f>
        <v>actions</v>
      </c>
      <c r="CR3982" s="1" t="s">
        <v>93</v>
      </c>
    </row>
    <row r="3983" spans="1:136" ht="14.25" customHeight="1" x14ac:dyDescent="0.3">
      <c r="A3983" s="1" t="s">
        <v>4124</v>
      </c>
      <c r="B3983" s="1" t="str">
        <f ca="1">IFERROR(__xludf.DUMMYFUNCTION("GOOGLETRANSLATE(A3983, ""en"", ""fr"")"),"NETTEMENT")</f>
        <v>NETTEMENT</v>
      </c>
      <c r="D3983" s="1" t="s">
        <v>4963</v>
      </c>
    </row>
    <row r="3984" spans="1:136" ht="14.25" customHeight="1" x14ac:dyDescent="0.3">
      <c r="A3984" s="1" t="s">
        <v>4125</v>
      </c>
      <c r="B3984" s="1" t="str">
        <f ca="1">IFERROR(__xludf.DUMMYFUNCTION("GOOGLETRANSLATE(A3984, ""en"", ""fr"")"),"shaybah")</f>
        <v>shaybah</v>
      </c>
      <c r="AN3984" s="1" t="s">
        <v>37</v>
      </c>
      <c r="AU3984" s="1" t="s">
        <v>44</v>
      </c>
      <c r="BS3984" s="1" t="s">
        <v>68</v>
      </c>
      <c r="DD3984" s="1" t="s">
        <v>105</v>
      </c>
    </row>
    <row r="3985" spans="1:143" ht="14.25" customHeight="1" x14ac:dyDescent="0.3">
      <c r="A3985" s="1" t="s">
        <v>4126</v>
      </c>
      <c r="B3985" s="1" t="str">
        <f ca="1">IFERROR(__xludf.DUMMYFUNCTION("GOOGLETRANSLATE(A3985, ""en"", ""fr"")"),"coquille")</f>
        <v>coquille</v>
      </c>
      <c r="N3985" s="1" t="s">
        <v>11</v>
      </c>
      <c r="Z3985" s="1" t="s">
        <v>23</v>
      </c>
      <c r="DT3985" s="1" t="s">
        <v>121</v>
      </c>
      <c r="DU3985" s="1" t="s">
        <v>122</v>
      </c>
      <c r="EM3985" s="1" t="s">
        <v>140</v>
      </c>
    </row>
    <row r="3986" spans="1:143" ht="14.25" customHeight="1" x14ac:dyDescent="0.3">
      <c r="A3986" s="1" t="s">
        <v>4127</v>
      </c>
      <c r="B3986" s="1" t="str">
        <f ca="1">IFERROR(__xludf.DUMMYFUNCTION("GOOGLETRANSLATE(A3986, ""en"", ""fr"")"),"shell-pemex")</f>
        <v>shell-pemex</v>
      </c>
      <c r="Y3986" s="1" t="s">
        <v>22</v>
      </c>
      <c r="Z3986" s="1" t="s">
        <v>23</v>
      </c>
      <c r="AD3986" s="1" t="s">
        <v>27</v>
      </c>
      <c r="DT3986" s="1" t="s">
        <v>121</v>
      </c>
      <c r="DU3986" s="1" t="s">
        <v>122</v>
      </c>
      <c r="EM3986" s="1" t="s">
        <v>140</v>
      </c>
    </row>
    <row r="3987" spans="1:143" ht="14.25" customHeight="1" x14ac:dyDescent="0.3">
      <c r="A3987" s="1" t="s">
        <v>4128</v>
      </c>
      <c r="B3987" s="1" t="str">
        <f ca="1">IFERROR(__xludf.DUMMYFUNCTION("GOOGLETRANSLATE(A3987, ""en"", ""fr"")"),"Shengli")</f>
        <v>Shengli</v>
      </c>
      <c r="R3987" s="1" t="s">
        <v>15</v>
      </c>
      <c r="CS3987" s="1" t="s">
        <v>94</v>
      </c>
    </row>
    <row r="3988" spans="1:143" ht="14.25" customHeight="1" x14ac:dyDescent="0.3">
      <c r="A3988" s="1" t="s">
        <v>4129</v>
      </c>
      <c r="B3988" s="1" t="str">
        <f ca="1">IFERROR(__xludf.DUMMYFUNCTION("GOOGLETRANSLATE(A3988, ""en"", ""fr"")"),"CHOQUÉ")</f>
        <v>CHOQUÉ</v>
      </c>
      <c r="D3988" s="1" t="s">
        <v>4963</v>
      </c>
    </row>
    <row r="3989" spans="1:143" ht="14.25" customHeight="1" x14ac:dyDescent="0.3">
      <c r="A3989" s="1" t="s">
        <v>4130</v>
      </c>
      <c r="B3989" s="1" t="str">
        <f ca="1">IFERROR(__xludf.DUMMYFUNCTION("GOOGLETRANSLATE(A3989, ""en"", ""fr"")"),"PÉNURIE")</f>
        <v>PÉNURIE</v>
      </c>
      <c r="D3989" s="1" t="s">
        <v>4963</v>
      </c>
    </row>
    <row r="3990" spans="1:143" ht="14.25" customHeight="1" x14ac:dyDescent="0.3">
      <c r="A3990" s="1" t="s">
        <v>4131</v>
      </c>
      <c r="B3990" s="1" t="str">
        <f ca="1">IFERROR(__xludf.DUMMYFUNCTION("GOOGLETRANSLATE(A3990, ""en"", ""fr"")"),"Pénuries")</f>
        <v>Pénuries</v>
      </c>
      <c r="D3990" s="1" t="s">
        <v>4963</v>
      </c>
    </row>
    <row r="3991" spans="1:143" ht="14.25" customHeight="1" x14ac:dyDescent="0.3">
      <c r="A3991" s="1" t="s">
        <v>4132</v>
      </c>
      <c r="B3991" s="1" t="str">
        <f ca="1">IFERROR(__xludf.DUMMYFUNCTION("GOOGLETRANSLATE(A3991, ""en"", ""fr"")"),"Manche")</f>
        <v>Manche</v>
      </c>
      <c r="D3991" s="1" t="s">
        <v>4963</v>
      </c>
    </row>
    <row r="3992" spans="1:143" ht="14.25" customHeight="1" x14ac:dyDescent="0.3">
      <c r="A3992" s="1" t="s">
        <v>4133</v>
      </c>
      <c r="B3992" s="1" t="str">
        <f ca="1">IFERROR(__xludf.DUMMYFUNCTION("GOOGLETRANSLATE(A3992, ""en"", ""fr"")"),"Tobe")</f>
        <v>Tobe</v>
      </c>
      <c r="D3992" s="1" t="s">
        <v>4963</v>
      </c>
    </row>
    <row r="3993" spans="1:143" ht="14.25" customHeight="1" x14ac:dyDescent="0.3">
      <c r="A3993" s="1" t="s">
        <v>4134</v>
      </c>
      <c r="B3993" s="1" t="str">
        <f ca="1">IFERROR(__xludf.DUMMYFUNCTION("GOOGLETRANSLATE(A3993, ""en"", ""fr"")"),"emprunt à court terme")</f>
        <v>emprunt à court terme</v>
      </c>
      <c r="CR3993" s="1" t="s">
        <v>93</v>
      </c>
    </row>
    <row r="3994" spans="1:143" ht="14.25" customHeight="1" x14ac:dyDescent="0.3">
      <c r="A3994" s="1" t="s">
        <v>4135</v>
      </c>
      <c r="B3994" s="1" t="str">
        <f ca="1">IFERROR(__xludf.DUMMYFUNCTION("GOOGLETRANSLATE(A3994, ""en"", ""fr"")"),"devrait")</f>
        <v>devrait</v>
      </c>
      <c r="J3994" s="1" t="s">
        <v>7</v>
      </c>
    </row>
    <row r="3995" spans="1:143" ht="14.25" customHeight="1" x14ac:dyDescent="0.3">
      <c r="A3995" s="1" t="s">
        <v>4136</v>
      </c>
      <c r="B3995" s="1" t="str">
        <f ca="1">IFERROR(__xludf.DUMMYFUNCTION("GOOGLETRANSLATE(A3995, ""en"", ""fr"")"),"RÉTRÉCISSEMENT")</f>
        <v>RÉTRÉCISSEMENT</v>
      </c>
      <c r="D3995" s="1" t="s">
        <v>4963</v>
      </c>
    </row>
    <row r="3996" spans="1:143" ht="14.25" customHeight="1" x14ac:dyDescent="0.3">
      <c r="A3996" s="1" t="s">
        <v>4137</v>
      </c>
      <c r="B3996" s="1" t="str">
        <f ca="1">IFERROR(__xludf.DUMMYFUNCTION("GOOGLETRANSLATE(A3996, ""en"", ""fr"")"),"Retrait")</f>
        <v>Retrait</v>
      </c>
      <c r="D3996" s="1" t="s">
        <v>4963</v>
      </c>
    </row>
    <row r="3997" spans="1:143" ht="14.25" customHeight="1" x14ac:dyDescent="0.3">
      <c r="A3997" s="1" t="s">
        <v>4138</v>
      </c>
      <c r="B3997" s="1" t="str">
        <f ca="1">IFERROR(__xludf.DUMMYFUNCTION("GOOGLETRANSLATE(A3997, ""en"", ""fr"")"),"FERMER")</f>
        <v>FERMER</v>
      </c>
      <c r="D3997" s="1" t="s">
        <v>4963</v>
      </c>
    </row>
    <row r="3998" spans="1:143" ht="14.25" customHeight="1" x14ac:dyDescent="0.3">
      <c r="A3998" s="1" t="s">
        <v>4139</v>
      </c>
      <c r="B3998" s="1" t="str">
        <f ca="1">IFERROR(__xludf.DUMMYFUNCTION("GOOGLETRANSLATE(A3998, ""en"", ""fr"")"),"FERMER")</f>
        <v>FERMER</v>
      </c>
      <c r="D3998" s="1" t="s">
        <v>4963</v>
      </c>
    </row>
    <row r="3999" spans="1:143" ht="14.25" customHeight="1" x14ac:dyDescent="0.3">
      <c r="A3999" s="1" t="s">
        <v>4140</v>
      </c>
      <c r="B3999" s="1" t="str">
        <f ca="1">IFERROR(__xludf.DUMMYFUNCTION("GOOGLETRANSLATE(A3999, ""en"", ""fr"")"),"Fermeture")</f>
        <v>Fermeture</v>
      </c>
      <c r="D3999" s="1" t="s">
        <v>4963</v>
      </c>
    </row>
    <row r="4000" spans="1:143" ht="14.25" customHeight="1" x14ac:dyDescent="0.3">
      <c r="A4000" s="1" t="s">
        <v>4141</v>
      </c>
      <c r="B4000" s="1" t="str">
        <f ca="1">IFERROR(__xludf.DUMMYFUNCTION("GOOGLETRANSLATE(A4000, ""en"", ""fr"")"),"Fermer")</f>
        <v>Fermer</v>
      </c>
      <c r="D4000" s="1" t="s">
        <v>4963</v>
      </c>
    </row>
    <row r="4001" spans="1:140" ht="14.25" customHeight="1" x14ac:dyDescent="0.3">
      <c r="A4001" s="1" t="s">
        <v>4142</v>
      </c>
      <c r="B4001" s="1" t="str">
        <f ca="1">IFERROR(__xludf.DUMMYFUNCTION("GOOGLETRANSLATE(A4001, ""en"", ""fr"")"),"FERMETURE")</f>
        <v>FERMETURE</v>
      </c>
      <c r="D4001" s="1" t="s">
        <v>4963</v>
      </c>
    </row>
    <row r="4002" spans="1:140" ht="14.25" customHeight="1" x14ac:dyDescent="0.3">
      <c r="A4002" s="1" t="s">
        <v>4143</v>
      </c>
      <c r="B4002" s="1" t="str">
        <f ca="1">IFERROR(__xludf.DUMMYFUNCTION("GOOGLETRANSLATE(A4002, ""en"", ""fr"")"),"Lumière sibérienne")</f>
        <v>Lumière sibérienne</v>
      </c>
      <c r="R4002" s="1" t="s">
        <v>15</v>
      </c>
      <c r="CS4002" s="1" t="s">
        <v>94</v>
      </c>
    </row>
    <row r="4003" spans="1:140" ht="14.25" customHeight="1" x14ac:dyDescent="0.3">
      <c r="A4003" s="1" t="s">
        <v>4144</v>
      </c>
      <c r="B4003" s="1" t="str">
        <f ca="1">IFERROR(__xludf.DUMMYFUNCTION("GOOGLETRANSLATE(A4003, ""en"", ""fr"")"),"code sic")</f>
        <v>code sic</v>
      </c>
      <c r="CR4003" s="1" t="s">
        <v>93</v>
      </c>
    </row>
    <row r="4004" spans="1:140" ht="14.25" customHeight="1" x14ac:dyDescent="0.3">
      <c r="A4004" s="1" t="s">
        <v>4145</v>
      </c>
      <c r="B4004" s="1" t="str">
        <f ca="1">IFERROR(__xludf.DUMMYFUNCTION("GOOGLETRANSLATE(A4004, ""en"", ""fr"")"),"Forage de touche")</f>
        <v>Forage de touche</v>
      </c>
      <c r="AY4004" s="1" t="s">
        <v>48</v>
      </c>
    </row>
    <row r="4005" spans="1:140" ht="14.25" customHeight="1" x14ac:dyDescent="0.3">
      <c r="A4005" s="1" t="s">
        <v>4146</v>
      </c>
      <c r="B4005" s="1" t="str">
        <f ca="1">IFERROR(__xludf.DUMMYFUNCTION("GOOGLETRANSLATE(A4005, ""en"", ""fr"")"),"Sidra")</f>
        <v>Sidra</v>
      </c>
      <c r="R4005" s="1" t="s">
        <v>15</v>
      </c>
      <c r="CS4005" s="1" t="s">
        <v>94</v>
      </c>
    </row>
    <row r="4006" spans="1:140" ht="14.25" customHeight="1" x14ac:dyDescent="0.3">
      <c r="A4006" s="1" t="s">
        <v>4147</v>
      </c>
      <c r="B4006" s="1" t="str">
        <f ca="1">IFERROR(__xludf.DUMMYFUNCTION("GOOGLETRANSLATE(A4006, ""en"", ""fr"")"),"argent")</f>
        <v>argent</v>
      </c>
      <c r="M4006" s="1" t="s">
        <v>10</v>
      </c>
    </row>
    <row r="4007" spans="1:140" ht="14.25" customHeight="1" x14ac:dyDescent="0.3">
      <c r="A4007" s="1" t="s">
        <v>4148</v>
      </c>
      <c r="B4007" s="1" t="str">
        <f ca="1">IFERROR(__xludf.DUMMYFUNCTION("GOOGLETRANSLATE(A4007, ""en"", ""fr"")"),"standard argenté")</f>
        <v>standard argenté</v>
      </c>
      <c r="M4007" s="1" t="s">
        <v>10</v>
      </c>
    </row>
    <row r="4008" spans="1:140" ht="14.25" customHeight="1" x14ac:dyDescent="0.3">
      <c r="A4008" s="1" t="s">
        <v>4149</v>
      </c>
      <c r="B4008" s="1" t="str">
        <f ca="1">IFERROR(__xludf.DUMMYFUNCTION("GOOGLETRANSLATE(A4008, ""en"", ""fr"")"),"Jeudi argenté")</f>
        <v>Jeudi argenté</v>
      </c>
      <c r="M4008" s="1" t="s">
        <v>10</v>
      </c>
    </row>
    <row r="4009" spans="1:140" ht="14.25" customHeight="1" x14ac:dyDescent="0.3">
      <c r="A4009" s="1" t="s">
        <v>4150</v>
      </c>
      <c r="B4009" s="1" t="str">
        <f ca="1">IFERROR(__xludf.DUMMYFUNCTION("GOOGLETRANSLATE(A4009, ""en"", ""fr"")"),"depuis")</f>
        <v>depuis</v>
      </c>
      <c r="J4009" s="1" t="s">
        <v>7</v>
      </c>
    </row>
    <row r="4010" spans="1:140" ht="14.25" customHeight="1" x14ac:dyDescent="0.3">
      <c r="A4010" s="1" t="s">
        <v>4151</v>
      </c>
      <c r="B4010" s="1" t="str">
        <f ca="1">IFERROR(__xludf.DUMMYFUNCTION("GOOGLETRANSLATE(A4010, ""en"", ""fr"")"),"Sincurer")</f>
        <v>Sincurer</v>
      </c>
      <c r="R4010" s="1" t="s">
        <v>15</v>
      </c>
      <c r="CS4010" s="1" t="s">
        <v>94</v>
      </c>
    </row>
    <row r="4011" spans="1:140" ht="14.25" customHeight="1" x14ac:dyDescent="0.3">
      <c r="A4011" s="1" t="s">
        <v>4152</v>
      </c>
      <c r="B4011" s="1" t="str">
        <f ca="1">IFERROR(__xludf.DUMMYFUNCTION("GOOGLETRANSLATE(A4011, ""en"", ""fr"")"),"Singapour")</f>
        <v>Singapour</v>
      </c>
      <c r="EJ4011" s="1" t="s">
        <v>137</v>
      </c>
    </row>
    <row r="4012" spans="1:140" ht="14.25" customHeight="1" x14ac:dyDescent="0.3">
      <c r="A4012" s="1" t="s">
        <v>4153</v>
      </c>
      <c r="B4012" s="1" t="str">
        <f ca="1">IFERROR(__xludf.DUMMYFUNCTION("GOOGLETRANSLATE(A4012, ""en"", ""fr"")"),"sinopec")</f>
        <v>sinopec</v>
      </c>
      <c r="X4012" s="1" t="s">
        <v>21</v>
      </c>
      <c r="AA4012" s="1" t="s">
        <v>24</v>
      </c>
      <c r="DT4012" s="1" t="s">
        <v>121</v>
      </c>
      <c r="DV4012" s="1" t="s">
        <v>123</v>
      </c>
    </row>
    <row r="4013" spans="1:140" ht="14.25" customHeight="1" x14ac:dyDescent="0.3">
      <c r="A4013" s="1" t="s">
        <v>4154</v>
      </c>
      <c r="B4013" s="1" t="str">
        <f ca="1">IFERROR(__xludf.DUMMYFUNCTION("GOOGLETRANSLATE(A4013, ""en"", ""fr"")"),"Siri")</f>
        <v>Siri</v>
      </c>
      <c r="R4013" s="1" t="s">
        <v>15</v>
      </c>
      <c r="CS4013" s="1" t="s">
        <v>94</v>
      </c>
    </row>
    <row r="4014" spans="1:140" ht="14.25" customHeight="1" x14ac:dyDescent="0.3">
      <c r="A4014" s="1" t="s">
        <v>4155</v>
      </c>
      <c r="B4014" s="1" t="str">
        <f ca="1">IFERROR(__xludf.DUMMYFUNCTION("GOOGLETRANSLATE(A4014, ""en"", ""fr"")"),"Sirri")</f>
        <v>Sirri</v>
      </c>
      <c r="R4014" s="1" t="s">
        <v>15</v>
      </c>
      <c r="CS4014" s="1" t="s">
        <v>94</v>
      </c>
    </row>
    <row r="4015" spans="1:140" ht="14.25" customHeight="1" x14ac:dyDescent="0.3">
      <c r="A4015" s="1" t="s">
        <v>4156</v>
      </c>
      <c r="B4015" s="1" t="str">
        <f ca="1">IFERROR(__xludf.DUMMYFUNCTION("GOOGLETRANSLATE(A4015, ""en"", ""fr"")"),"huile de Sirte")</f>
        <v>huile de Sirte</v>
      </c>
      <c r="CW4015" s="1" t="s">
        <v>98</v>
      </c>
      <c r="DT4015" s="1" t="s">
        <v>121</v>
      </c>
    </row>
    <row r="4016" spans="1:140" ht="14.25" customHeight="1" x14ac:dyDescent="0.3">
      <c r="A4016" s="1" t="s">
        <v>4157</v>
      </c>
      <c r="B4016" s="1" t="str">
        <f ca="1">IFERROR(__xludf.DUMMYFUNCTION("GOOGLETRANSLATE(A4016, ""en"", ""fr"")"),"Sirtica")</f>
        <v>Sirtica</v>
      </c>
      <c r="R4016" s="1" t="s">
        <v>15</v>
      </c>
      <c r="CS4016" s="1" t="s">
        <v>94</v>
      </c>
    </row>
    <row r="4017" spans="1:124" ht="14.25" customHeight="1" x14ac:dyDescent="0.3">
      <c r="A4017" s="1" t="s">
        <v>4158</v>
      </c>
      <c r="B4017" s="1" t="str">
        <f ca="1">IFERROR(__xludf.DUMMYFUNCTION("GOOGLETRANSLATE(A4017, ""en"", ""fr"")"),"s'asseoir")</f>
        <v>s'asseoir</v>
      </c>
      <c r="J4017" s="1" t="s">
        <v>7</v>
      </c>
    </row>
    <row r="4018" spans="1:124" ht="14.25" customHeight="1" x14ac:dyDescent="0.3">
      <c r="A4018" s="1" t="s">
        <v>4159</v>
      </c>
      <c r="B4018" s="1" t="str">
        <f ca="1">IFERROR(__xludf.DUMMYFUNCTION("GOOGLETRANSLATE(A4018, ""en"", ""fr"")"),"séance")</f>
        <v>séance</v>
      </c>
      <c r="J4018" s="1" t="s">
        <v>7</v>
      </c>
    </row>
    <row r="4019" spans="1:124" ht="14.25" customHeight="1" x14ac:dyDescent="0.3">
      <c r="A4019" s="1" t="s">
        <v>4160</v>
      </c>
      <c r="B4019" s="1" t="str">
        <f ca="1">IFERROR(__xludf.DUMMYFUNCTION("GOOGLETRANSLATE(A4019, ""en"", ""fr"")"),"énergie SK")</f>
        <v>énergie SK</v>
      </c>
      <c r="O4019" s="1" t="s">
        <v>12</v>
      </c>
      <c r="CU4019" s="1" t="s">
        <v>96</v>
      </c>
      <c r="DT4019" s="1" t="s">
        <v>121</v>
      </c>
    </row>
    <row r="4020" spans="1:124" ht="14.25" customHeight="1" x14ac:dyDescent="0.3">
      <c r="A4020" s="1" t="s">
        <v>4161</v>
      </c>
      <c r="B4020" s="1" t="str">
        <f ca="1">IFERROR(__xludf.DUMMYFUNCTION("GOOGLETRANSLATE(A4020, ""en"", ""fr"")"),"Sk Energy Ulsan Respinerie")</f>
        <v>Sk Energy Ulsan Respinerie</v>
      </c>
      <c r="O4020" s="1" t="s">
        <v>12</v>
      </c>
      <c r="BF4020" s="1" t="s">
        <v>55</v>
      </c>
      <c r="CU4020" s="1" t="s">
        <v>96</v>
      </c>
      <c r="DB4020" s="1" t="s">
        <v>103</v>
      </c>
    </row>
    <row r="4021" spans="1:124" ht="14.25" customHeight="1" x14ac:dyDescent="0.3">
      <c r="A4021" s="1" t="s">
        <v>4162</v>
      </c>
      <c r="B4021" s="1" t="str">
        <f ca="1">IFERROR(__xludf.DUMMYFUNCTION("GOOGLETRANSLATE(A4021, ""en"", ""fr"")"),"Théorie de la longueur de la jupe")</f>
        <v>Théorie de la longueur de la jupe</v>
      </c>
      <c r="M4021" s="1" t="s">
        <v>10</v>
      </c>
    </row>
    <row r="4022" spans="1:124" ht="14.25" customHeight="1" x14ac:dyDescent="0.3">
      <c r="A4022" s="1" t="s">
        <v>4163</v>
      </c>
      <c r="B4022" s="1" t="str">
        <f ca="1">IFERROR(__xludf.DUMMYFUNCTION("GOOGLETRANSLATE(A4022, ""en"", ""fr"")"),"CALOMNIE")</f>
        <v>CALOMNIE</v>
      </c>
      <c r="D4022" s="1" t="s">
        <v>4963</v>
      </c>
    </row>
    <row r="4023" spans="1:124" ht="14.25" customHeight="1" x14ac:dyDescent="0.3">
      <c r="A4023" s="1" t="s">
        <v>4164</v>
      </c>
      <c r="B4023" s="1" t="str">
        <f ca="1">IFERROR(__xludf.DUMMYFUNCTION("GOOGLETRANSLATE(A4023, ""en"", ""fr"")"),"Calomnière")</f>
        <v>Calomnière</v>
      </c>
      <c r="D4023" s="1" t="s">
        <v>4963</v>
      </c>
    </row>
    <row r="4024" spans="1:124" ht="14.25" customHeight="1" x14ac:dyDescent="0.3">
      <c r="A4024" s="1" t="s">
        <v>4165</v>
      </c>
      <c r="B4024" s="1" t="str">
        <f ca="1">IFERROR(__xludf.DUMMYFUNCTION("GOOGLETRANSLATE(A4024, ""en"", ""fr"")"),"DIFFAMATOIRE")</f>
        <v>DIFFAMATOIRE</v>
      </c>
      <c r="D4024" s="1" t="s">
        <v>4963</v>
      </c>
    </row>
    <row r="4025" spans="1:124" ht="14.25" customHeight="1" x14ac:dyDescent="0.3">
      <c r="A4025" s="1" t="s">
        <v>4166</v>
      </c>
      <c r="B4025" s="1" t="str">
        <f ca="1">IFERROR(__xludf.DUMMYFUNCTION("GOOGLETRANSLATE(A4025, ""en"", ""fr"")"),"Cadoure")</f>
        <v>Cadoure</v>
      </c>
      <c r="D4025" s="1" t="s">
        <v>4963</v>
      </c>
    </row>
    <row r="4026" spans="1:124" ht="14.25" customHeight="1" x14ac:dyDescent="0.3">
      <c r="A4026" s="1" t="s">
        <v>4167</v>
      </c>
      <c r="B4026" s="1" t="str">
        <f ca="1">IFERROR(__xludf.DUMMYFUNCTION("GOOGLETRANSLATE(A4026, ""en"", ""fr"")"),"Condensat de couches")</f>
        <v>Condensat de couches</v>
      </c>
      <c r="R4026" s="1" t="s">
        <v>15</v>
      </c>
      <c r="CS4026" s="1" t="s">
        <v>94</v>
      </c>
    </row>
    <row r="4027" spans="1:124" ht="14.25" customHeight="1" x14ac:dyDescent="0.3">
      <c r="A4027" s="1" t="s">
        <v>4168</v>
      </c>
      <c r="B4027" s="1" t="str">
        <f ca="1">IFERROR(__xludf.DUMMYFUNCTION("GOOGLETRANSLATE(A4027, ""en"", ""fr"")"),"Glissement")</f>
        <v>Glissement</v>
      </c>
      <c r="D4027" s="1" t="s">
        <v>4963</v>
      </c>
    </row>
    <row r="4028" spans="1:124" ht="14.25" customHeight="1" x14ac:dyDescent="0.3">
      <c r="A4028" s="1" t="s">
        <v>4169</v>
      </c>
      <c r="B4028" s="1" t="str">
        <f ca="1">IFERROR(__xludf.DUMMYFUNCTION("GOOGLETRANSLATE(A4028, ""en"", ""fr"")"),"Glissement")</f>
        <v>Glissement</v>
      </c>
      <c r="D4028" s="1" t="s">
        <v>4963</v>
      </c>
    </row>
    <row r="4029" spans="1:124" ht="14.25" customHeight="1" x14ac:dyDescent="0.3">
      <c r="A4029" s="1" t="s">
        <v>4170</v>
      </c>
      <c r="B4029" s="1" t="str">
        <f ca="1">IFERROR(__xludf.DUMMYFUNCTION("GOOGLETRANSLATE(A4029, ""en"", ""fr"")"),"fente")</f>
        <v>fente</v>
      </c>
      <c r="CS4029" s="1" t="s">
        <v>94</v>
      </c>
    </row>
    <row r="4030" spans="1:124" ht="14.25" customHeight="1" x14ac:dyDescent="0.3">
      <c r="A4030" s="1" t="s">
        <v>4171</v>
      </c>
      <c r="B4030" s="1" t="str">
        <f ca="1">IFERROR(__xludf.DUMMYFUNCTION("GOOGLETRANSLATE(A4030, ""en"", ""fr"")"),"LENT")</f>
        <v>LENT</v>
      </c>
      <c r="D4030" s="1" t="s">
        <v>4963</v>
      </c>
    </row>
    <row r="4031" spans="1:124" ht="14.25" customHeight="1" x14ac:dyDescent="0.3">
      <c r="A4031" s="1" t="s">
        <v>4172</v>
      </c>
      <c r="B4031" s="1" t="str">
        <f ca="1">IFERROR(__xludf.DUMMYFUNCTION("GOOGLETRANSLATE(A4031, ""en"", ""fr"")"),"ralentir")</f>
        <v>ralentir</v>
      </c>
      <c r="D4031" s="1" t="s">
        <v>4963</v>
      </c>
      <c r="M4031" s="1" t="s">
        <v>10</v>
      </c>
    </row>
    <row r="4032" spans="1:124" ht="14.25" customHeight="1" x14ac:dyDescent="0.3">
      <c r="A4032" s="1" t="s">
        <v>4173</v>
      </c>
      <c r="B4032" s="1" t="str">
        <f ca="1">IFERROR(__xludf.DUMMYFUNCTION("GOOGLETRANSLATE(A4032, ""en"", ""fr"")"),"Ralentissement")</f>
        <v>Ralentissement</v>
      </c>
      <c r="D4032" s="1" t="s">
        <v>4963</v>
      </c>
    </row>
    <row r="4033" spans="1:97" ht="14.25" customHeight="1" x14ac:dyDescent="0.3">
      <c r="A4033" s="1" t="s">
        <v>4174</v>
      </c>
      <c r="B4033" s="1" t="str">
        <f ca="1">IFERROR(__xludf.DUMMYFUNCTION("GOOGLETRANSLATE(A4033, ""en"", ""fr"")"),"Ralenti")</f>
        <v>Ralenti</v>
      </c>
      <c r="D4033" s="1" t="s">
        <v>4963</v>
      </c>
    </row>
    <row r="4034" spans="1:97" ht="14.25" customHeight="1" x14ac:dyDescent="0.3">
      <c r="A4034" s="1" t="s">
        <v>4175</v>
      </c>
      <c r="B4034" s="1" t="str">
        <f ca="1">IFERROR(__xludf.DUMMYFUNCTION("GOOGLETRANSLATE(A4034, ""en"", ""fr"")"),"RALENTISSEZ")</f>
        <v>RALENTISSEZ</v>
      </c>
      <c r="D4034" s="1" t="s">
        <v>4963</v>
      </c>
    </row>
    <row r="4035" spans="1:97" ht="14.25" customHeight="1" x14ac:dyDescent="0.3">
      <c r="A4035" s="1" t="s">
        <v>4176</v>
      </c>
      <c r="B4035" s="1" t="str">
        <f ca="1">IFERROR(__xludf.DUMMYFUNCTION("GOOGLETRANSLATE(A4035, ""en"", ""fr"")"),"Le plus lent")</f>
        <v>Le plus lent</v>
      </c>
      <c r="D4035" s="1" t="s">
        <v>4963</v>
      </c>
    </row>
    <row r="4036" spans="1:97" ht="14.25" customHeight="1" x14ac:dyDescent="0.3">
      <c r="A4036" s="1" t="s">
        <v>4177</v>
      </c>
      <c r="B4036" s="1" t="str">
        <f ca="1">IFERROR(__xludf.DUMMYFUNCTION("GOOGLETRANSLATE(A4036, ""en"", ""fr"")"),"Ralentissement")</f>
        <v>Ralentissement</v>
      </c>
      <c r="D4036" s="1" t="s">
        <v>4963</v>
      </c>
    </row>
    <row r="4037" spans="1:97" ht="14.25" customHeight="1" x14ac:dyDescent="0.3">
      <c r="A4037" s="1" t="s">
        <v>4178</v>
      </c>
      <c r="B4037" s="1" t="str">
        <f ca="1">IFERROR(__xludf.DUMMYFUNCTION("GOOGLETRANSLATE(A4037, ""en"", ""fr"")"),"LENTEMENT")</f>
        <v>LENTEMENT</v>
      </c>
      <c r="D4037" s="1" t="s">
        <v>4963</v>
      </c>
    </row>
    <row r="4038" spans="1:97" ht="14.25" customHeight="1" x14ac:dyDescent="0.3">
      <c r="A4038" s="1" t="s">
        <v>4179</v>
      </c>
      <c r="B4038" s="1" t="str">
        <f ca="1">IFERROR(__xludf.DUMMYFUNCTION("GOOGLETRANSLATE(A4038, ""en"", ""fr"")"),"LA LENTEUR")</f>
        <v>LA LENTEUR</v>
      </c>
      <c r="D4038" s="1" t="s">
        <v>4963</v>
      </c>
    </row>
    <row r="4039" spans="1:97" ht="14.25" customHeight="1" x14ac:dyDescent="0.3">
      <c r="A4039" s="1" t="s">
        <v>4180</v>
      </c>
      <c r="B4039" s="1" t="str">
        <f ca="1">IFERROR(__xludf.DUMMYFUNCTION("GOOGLETRANSLATE(A4039, ""en"", ""fr"")"),"boue")</f>
        <v>boue</v>
      </c>
      <c r="CS4039" s="1" t="s">
        <v>94</v>
      </c>
    </row>
    <row r="4040" spans="1:97" ht="14.25" customHeight="1" x14ac:dyDescent="0.3">
      <c r="A4040" s="1" t="s">
        <v>4181</v>
      </c>
      <c r="B4040" s="1" t="str">
        <f ca="1">IFERROR(__xludf.DUMMYFUNCTION("GOOGLETRANSLATE(A4040, ""en"", ""fr"")"),"Boue")</f>
        <v>Boue</v>
      </c>
      <c r="E4040" s="1" t="s">
        <v>3</v>
      </c>
    </row>
    <row r="4041" spans="1:97" ht="14.25" customHeight="1" x14ac:dyDescent="0.3">
      <c r="A4041" s="1" t="s">
        <v>4182</v>
      </c>
      <c r="B4041" s="1" t="str">
        <f ca="1">IFERROR(__xludf.DUMMYFUNCTION("GOOGLETRANSLATE(A4041, ""en"", ""fr"")"),"Chasseur de limace")</f>
        <v>Chasseur de limace</v>
      </c>
      <c r="E4041" s="1" t="s">
        <v>3</v>
      </c>
    </row>
    <row r="4042" spans="1:97" ht="14.25" customHeight="1" x14ac:dyDescent="0.3">
      <c r="A4042" s="1" t="s">
        <v>4183</v>
      </c>
      <c r="B4042" s="1" t="str">
        <f ca="1">IFERROR(__xludf.DUMMYFUNCTION("GOOGLETRANSLATE(A4042, ""en"", ""fr"")"),"PARESSEUX")</f>
        <v>PARESSEUX</v>
      </c>
      <c r="D4042" s="1" t="s">
        <v>4963</v>
      </c>
    </row>
    <row r="4043" spans="1:97" ht="14.25" customHeight="1" x14ac:dyDescent="0.3">
      <c r="A4043" s="1" t="s">
        <v>4184</v>
      </c>
      <c r="B4043" s="1" t="str">
        <f ca="1">IFERROR(__xludf.DUMMYFUNCTION("GOOGLETRANSLATE(A4043, ""en"", ""fr"")"),"économie lente")</f>
        <v>économie lente</v>
      </c>
      <c r="M4043" s="1" t="s">
        <v>10</v>
      </c>
    </row>
    <row r="4044" spans="1:97" ht="14.25" customHeight="1" x14ac:dyDescent="0.3">
      <c r="A4044" s="1" t="s">
        <v>4185</v>
      </c>
      <c r="B4044" s="1" t="str">
        <f ca="1">IFERROR(__xludf.DUMMYFUNCTION("GOOGLETRANSLATE(A4044, ""en"", ""fr"")"),"Latte")</f>
        <v>Latte</v>
      </c>
      <c r="D4044" s="1" t="s">
        <v>4963</v>
      </c>
    </row>
    <row r="4045" spans="1:97" ht="14.25" customHeight="1" x14ac:dyDescent="0.3">
      <c r="A4045" s="1" t="s">
        <v>4186</v>
      </c>
      <c r="B4045" s="1" t="str">
        <f ca="1">IFERROR(__xludf.DUMMYFUNCTION("GOOGLETRANSLATE(A4045, ""en"", ""fr"")"),"LENTEUR")</f>
        <v>LENTEUR</v>
      </c>
      <c r="D4045" s="1" t="s">
        <v>4963</v>
      </c>
    </row>
    <row r="4046" spans="1:97" ht="14.25" customHeight="1" x14ac:dyDescent="0.3">
      <c r="A4046" s="1" t="s">
        <v>4187</v>
      </c>
      <c r="B4046" s="1" t="str">
        <f ca="1">IFERROR(__xludf.DUMMYFUNCTION("GOOGLETRANSLATE(A4046, ""en"", ""fr"")"),"marasme")</f>
        <v>marasme</v>
      </c>
      <c r="M4046" s="1" t="s">
        <v>10</v>
      </c>
    </row>
    <row r="4047" spans="1:97" ht="14.25" customHeight="1" x14ac:dyDescent="0.3">
      <c r="A4047" s="1" t="s">
        <v>4188</v>
      </c>
      <c r="B4047" s="1" t="str">
        <f ca="1">IFERROR(__xludf.DUMMYFUNCTION("GOOGLETRANSLATE(A4047, ""en"", ""fr"")"),"industrie des cheminées")</f>
        <v>industrie des cheminées</v>
      </c>
      <c r="M4047" s="1" t="s">
        <v>10</v>
      </c>
    </row>
    <row r="4048" spans="1:97" ht="14.25" customHeight="1" x14ac:dyDescent="0.3">
      <c r="A4048" s="1" t="s">
        <v>4189</v>
      </c>
      <c r="B4048" s="1" t="str">
        <f ca="1">IFERROR(__xludf.DUMMYFUNCTION("GOOGLETRANSLATE(A4048, ""en"", ""fr"")"),"LISSE")</f>
        <v>LISSE</v>
      </c>
      <c r="H4048" s="1" t="s">
        <v>4964</v>
      </c>
    </row>
    <row r="4049" spans="1:142" ht="14.25" customHeight="1" x14ac:dyDescent="0.3">
      <c r="A4049" s="1" t="s">
        <v>4190</v>
      </c>
      <c r="B4049" s="1" t="str">
        <f ca="1">IFERROR(__xludf.DUMMYFUNCTION("GOOGLETRANSLATE(A4049, ""en"", ""fr"")"),"Lissage")</f>
        <v>Lissage</v>
      </c>
      <c r="H4049" s="1" t="s">
        <v>4964</v>
      </c>
    </row>
    <row r="4050" spans="1:142" ht="14.25" customHeight="1" x14ac:dyDescent="0.3">
      <c r="A4050" s="1" t="s">
        <v>4191</v>
      </c>
      <c r="B4050" s="1" t="str">
        <f ca="1">IFERROR(__xludf.DUMMYFUNCTION("GOOGLETRANSLATE(A4050, ""en"", ""fr"")"),"DOUCEMENT")</f>
        <v>DOUCEMENT</v>
      </c>
      <c r="H4050" s="1" t="s">
        <v>4964</v>
      </c>
    </row>
    <row r="4051" spans="1:142" ht="14.25" customHeight="1" x14ac:dyDescent="0.3">
      <c r="A4051" s="1" t="s">
        <v>4192</v>
      </c>
      <c r="B4051" s="1" t="str">
        <f ca="1">IFERROR(__xludf.DUMMYFUNCTION("GOOGLETRANSLATE(A4051, ""en"", ""fr"")"),"Lisses")</f>
        <v>Lisses</v>
      </c>
      <c r="H4051" s="1" t="s">
        <v>4964</v>
      </c>
    </row>
    <row r="4052" spans="1:142" ht="14.25" customHeight="1" x14ac:dyDescent="0.3">
      <c r="A4052" s="1" t="s">
        <v>4193</v>
      </c>
      <c r="B4052" s="1" t="str">
        <f ca="1">IFERROR(__xludf.DUMMYFUNCTION("GOOGLETRANSLATE(A4052, ""en"", ""fr"")"),"Condensat snohvit")</f>
        <v>Condensat snohvit</v>
      </c>
      <c r="R4052" s="1" t="s">
        <v>15</v>
      </c>
      <c r="CS4052" s="1" t="s">
        <v>94</v>
      </c>
    </row>
    <row r="4053" spans="1:142" ht="14.25" customHeight="1" x14ac:dyDescent="0.3">
      <c r="A4053" s="1" t="s">
        <v>4194</v>
      </c>
      <c r="B4053" s="1" t="str">
        <f ca="1">IFERROR(__xludf.DUMMYFUNCTION("GOOGLETRANSLATE(A4053, ""en"", ""fr"")"),"snorre")</f>
        <v>snorre</v>
      </c>
      <c r="BB4053" s="1" t="s">
        <v>51</v>
      </c>
      <c r="DD4053" s="1" t="s">
        <v>105</v>
      </c>
    </row>
    <row r="4054" spans="1:142" ht="14.25" customHeight="1" x14ac:dyDescent="0.3">
      <c r="A4054" s="1" t="s">
        <v>4195</v>
      </c>
      <c r="B4054" s="1" t="str">
        <f ca="1">IFERROR(__xludf.DUMMYFUNCTION("GOOGLETRANSLATE(A4054, ""en"", ""fr"")"),"donc")</f>
        <v>donc</v>
      </c>
      <c r="J4054" s="1" t="s">
        <v>7</v>
      </c>
    </row>
    <row r="4055" spans="1:142" ht="14.25" customHeight="1" x14ac:dyDescent="0.3">
      <c r="A4055" s="1" t="s">
        <v>4196</v>
      </c>
      <c r="B4055" s="1" t="str">
        <f ca="1">IFERROR(__xludf.DUMMYFUNCTION("GOOGLETRANSLATE(A4055, ""en"", ""fr"")"),"Marchés en flèche")</f>
        <v>Marchés en flèche</v>
      </c>
      <c r="M4055" s="1" t="s">
        <v>10</v>
      </c>
    </row>
    <row r="4056" spans="1:142" ht="14.25" customHeight="1" x14ac:dyDescent="0.3">
      <c r="A4056" s="1" t="s">
        <v>4197</v>
      </c>
      <c r="B4056" s="1" t="str">
        <f ca="1">IFERROR(__xludf.DUMMYFUNCTION("GOOGLETRANSLATE(A4056, ""en"", ""fr"")"),"Indicateur de maman de football")</f>
        <v>Indicateur de maman de football</v>
      </c>
      <c r="M4056" s="1" t="s">
        <v>10</v>
      </c>
    </row>
    <row r="4057" spans="1:142" ht="14.25" customHeight="1" x14ac:dyDescent="0.3">
      <c r="A4057" s="1" t="s">
        <v>4198</v>
      </c>
      <c r="B4057" s="1" t="str">
        <f ca="1">IFERROR(__xludf.DUMMYFUNCTION("GOOGLETRANSLATE(A4057, ""en"", ""fr"")"),"socialisme")</f>
        <v>socialisme</v>
      </c>
      <c r="M4057" s="1" t="s">
        <v>10</v>
      </c>
    </row>
    <row r="4058" spans="1:142" ht="14.25" customHeight="1" x14ac:dyDescent="0.3">
      <c r="A4058" s="1" t="s">
        <v>4199</v>
      </c>
      <c r="B4058" s="1" t="str">
        <f ca="1">IFERROR(__xludf.DUMMYFUNCTION("GOOGLETRANSLATE(A4058, ""en"", ""fr"")"),"atterrissage en douceur")</f>
        <v>atterrissage en douceur</v>
      </c>
      <c r="M4058" s="1" t="s">
        <v>10</v>
      </c>
    </row>
    <row r="4059" spans="1:142" ht="14.25" customHeight="1" x14ac:dyDescent="0.3">
      <c r="A4059" s="1" t="s">
        <v>4200</v>
      </c>
      <c r="B4059" s="1" t="str">
        <f ca="1">IFERROR(__xludf.DUMMYFUNCTION("GOOGLETRANSLATE(A4059, ""en"", ""fr"")"),"marché doux")</f>
        <v>marché doux</v>
      </c>
      <c r="M4059" s="1" t="s">
        <v>10</v>
      </c>
    </row>
    <row r="4060" spans="1:142" ht="14.25" customHeight="1" x14ac:dyDescent="0.3">
      <c r="A4060" s="1" t="s">
        <v>4201</v>
      </c>
      <c r="B4060" s="1" t="str">
        <f ca="1">IFERROR(__xludf.DUMMYFUNCTION("GOOGLETRANSLATE(A4060, ""en"", ""fr"")"),"douves douces")</f>
        <v>douves douces</v>
      </c>
      <c r="M4060" s="1" t="s">
        <v>10</v>
      </c>
    </row>
    <row r="4061" spans="1:142" ht="14.25" customHeight="1" x14ac:dyDescent="0.3">
      <c r="A4061" s="1" t="s">
        <v>4202</v>
      </c>
      <c r="B4061" s="1" t="str">
        <f ca="1">IFERROR(__xludf.DUMMYFUNCTION("GOOGLETRANSLATE(A4061, ""en"", ""fr"")"),"sol")</f>
        <v>sol</v>
      </c>
      <c r="CU4061" s="1" t="s">
        <v>96</v>
      </c>
      <c r="DP4061" s="1" t="s">
        <v>117</v>
      </c>
      <c r="DT4061" s="1" t="s">
        <v>121</v>
      </c>
    </row>
    <row r="4062" spans="1:142" ht="14.25" customHeight="1" x14ac:dyDescent="0.3">
      <c r="A4062" s="1" t="s">
        <v>4203</v>
      </c>
      <c r="B4062" s="1" t="str">
        <f ca="1">IFERROR(__xludf.DUMMYFUNCTION("GOOGLETRANSLATE(A4062, ""en"", ""fr"")"),"raffinerie S-Oil Ulsan")</f>
        <v>raffinerie S-Oil Ulsan</v>
      </c>
      <c r="BF4062" s="1" t="s">
        <v>55</v>
      </c>
      <c r="CU4062" s="1" t="s">
        <v>96</v>
      </c>
      <c r="DB4062" s="1" t="s">
        <v>103</v>
      </c>
      <c r="DP4062" s="1" t="s">
        <v>117</v>
      </c>
    </row>
    <row r="4063" spans="1:142" ht="14.25" customHeight="1" x14ac:dyDescent="0.3">
      <c r="A4063" s="1" t="s">
        <v>4204</v>
      </c>
      <c r="B4063" s="1" t="str">
        <f ca="1">IFERROR(__xludf.DUMMYFUNCTION("GOOGLETRANSLATE(A4063, ""en"", ""fr"")"),"Sokol")</f>
        <v>Sokol</v>
      </c>
      <c r="R4063" s="1" t="s">
        <v>15</v>
      </c>
      <c r="CS4063" s="1" t="s">
        <v>94</v>
      </c>
    </row>
    <row r="4064" spans="1:142" ht="14.25" customHeight="1" x14ac:dyDescent="0.3">
      <c r="A4064" s="1" t="s">
        <v>4205</v>
      </c>
      <c r="B4064" s="1" t="str">
        <f ca="1">IFERROR(__xludf.DUMMYFUNCTION("GOOGLETRANSLATE(A4064, ""en"", ""fr"")"),"Solution Gas naturel")</f>
        <v>Solution Gas naturel</v>
      </c>
      <c r="EL4064" s="1" t="s">
        <v>139</v>
      </c>
    </row>
    <row r="4065" spans="1:142" ht="14.25" customHeight="1" x14ac:dyDescent="0.3">
      <c r="A4065" s="1" t="s">
        <v>4206</v>
      </c>
      <c r="B4065" s="1" t="str">
        <f ca="1">IFERROR(__xludf.DUMMYFUNCTION("GOOGLETRANSLATE(A4065, ""en"", ""fr"")"),"Solvèces")</f>
        <v>Solvèces</v>
      </c>
      <c r="D4065" s="1" t="s">
        <v>4963</v>
      </c>
    </row>
    <row r="4066" spans="1:142" ht="14.25" customHeight="1" x14ac:dyDescent="0.3">
      <c r="A4066" s="1" t="s">
        <v>4207</v>
      </c>
      <c r="B4066" s="1" t="str">
        <f ca="1">IFERROR(__xludf.DUMMYFUNCTION("GOOGLETRANSLATE(A4066, ""en"", ""fr"")"),"solvabilité")</f>
        <v>solvabilité</v>
      </c>
      <c r="D4066" s="1" t="s">
        <v>4963</v>
      </c>
      <c r="CR4066" s="1" t="s">
        <v>93</v>
      </c>
    </row>
    <row r="4067" spans="1:142" ht="14.25" customHeight="1" x14ac:dyDescent="0.3">
      <c r="A4067" s="1" t="s">
        <v>4208</v>
      </c>
      <c r="B4067" s="1" t="str">
        <f ca="1">IFERROR(__xludf.DUMMYFUNCTION("GOOGLETRANSLATE(A4067, ""en"", ""fr"")"),"Extraction par solvant")</f>
        <v>Extraction par solvant</v>
      </c>
      <c r="E4067" s="1" t="s">
        <v>3</v>
      </c>
    </row>
    <row r="4068" spans="1:142" ht="14.25" customHeight="1" x14ac:dyDescent="0.3">
      <c r="A4068" s="1" t="s">
        <v>4209</v>
      </c>
      <c r="B4068" s="1" t="str">
        <f ca="1">IFERROR(__xludf.DUMMYFUNCTION("GOOGLETRANSLATE(A4068, ""en"", ""fr"")"),"Raffinage des solvants")</f>
        <v>Raffinage des solvants</v>
      </c>
      <c r="E4068" s="1" t="s">
        <v>3</v>
      </c>
    </row>
    <row r="4069" spans="1:142" ht="14.25" customHeight="1" x14ac:dyDescent="0.3">
      <c r="A4069" s="1" t="s">
        <v>4210</v>
      </c>
      <c r="B4069" s="1" t="str">
        <f ca="1">IFERROR(__xludf.DUMMYFUNCTION("GOOGLETRANSLATE(A4069, ""en"", ""fr"")"),"Solution")</f>
        <v>Solution</v>
      </c>
      <c r="H4069" s="1" t="s">
        <v>4964</v>
      </c>
    </row>
    <row r="4070" spans="1:142" ht="14.25" customHeight="1" x14ac:dyDescent="0.3">
      <c r="A4070" s="1" t="s">
        <v>4211</v>
      </c>
      <c r="B4070" s="1" t="str">
        <f ca="1">IFERROR(__xludf.DUMMYFUNCTION("GOOGLETRANSLATE(A4070, ""en"", ""fr"")"),"Résolution")</f>
        <v>Résolution</v>
      </c>
      <c r="H4070" s="1" t="s">
        <v>4964</v>
      </c>
    </row>
    <row r="4071" spans="1:142" ht="14.25" customHeight="1" x14ac:dyDescent="0.3">
      <c r="A4071" s="1" t="s">
        <v>4212</v>
      </c>
      <c r="B4071" s="1" t="str">
        <f ca="1">IFERROR(__xludf.DUMMYFUNCTION("GOOGLETRANSLATE(A4071, ""en"", ""fr"")"),"quelques")</f>
        <v>quelques</v>
      </c>
      <c r="J4071" s="1" t="s">
        <v>7</v>
      </c>
    </row>
    <row r="4072" spans="1:142" ht="14.25" customHeight="1" x14ac:dyDescent="0.3">
      <c r="A4072" s="1" t="s">
        <v>4213</v>
      </c>
      <c r="B4072" s="1" t="str">
        <f ca="1">IFERROR(__xludf.DUMMYFUNCTION("GOOGLETRANSLATE(A4072, ""en"", ""fr"")"),"quelqu'un")</f>
        <v>quelqu'un</v>
      </c>
      <c r="J4072" s="1" t="s">
        <v>7</v>
      </c>
    </row>
    <row r="4073" spans="1:142" ht="14.25" customHeight="1" x14ac:dyDescent="0.3">
      <c r="A4073" s="1" t="s">
        <v>4214</v>
      </c>
      <c r="B4073" s="1" t="str">
        <f ca="1">IFERROR(__xludf.DUMMYFUNCTION("GOOGLETRANSLATE(A4073, ""en"", ""fr"")"),"quelque chose")</f>
        <v>quelque chose</v>
      </c>
      <c r="J4073" s="1" t="s">
        <v>7</v>
      </c>
    </row>
    <row r="4074" spans="1:142" ht="14.25" customHeight="1" x14ac:dyDescent="0.3">
      <c r="A4074" s="1" t="s">
        <v>4215</v>
      </c>
      <c r="B4074" s="1" t="str">
        <f ca="1">IFERROR(__xludf.DUMMYFUNCTION("GOOGLETRANSLATE(A4074, ""en"", ""fr"")"),"Soroush")</f>
        <v>Soroush</v>
      </c>
      <c r="R4074" s="1" t="s">
        <v>15</v>
      </c>
      <c r="CS4074" s="1" t="s">
        <v>94</v>
      </c>
    </row>
    <row r="4075" spans="1:142" ht="14.25" customHeight="1" x14ac:dyDescent="0.3">
      <c r="A4075" s="1" t="s">
        <v>4216</v>
      </c>
      <c r="B4075" s="1" t="str">
        <f ca="1">IFERROR(__xludf.DUMMYFUNCTION("GOOGLETRANSLATE(A4075, ""en"", ""fr"")"),"Souedieh")</f>
        <v>Souedieh</v>
      </c>
      <c r="R4075" s="1" t="s">
        <v>15</v>
      </c>
      <c r="CS4075" s="1" t="s">
        <v>94</v>
      </c>
    </row>
    <row r="4076" spans="1:142" ht="14.25" customHeight="1" x14ac:dyDescent="0.3">
      <c r="A4076" s="1" t="s">
        <v>4217</v>
      </c>
      <c r="B4076" s="1" t="str">
        <f ca="1">IFERROR(__xludf.DUMMYFUNCTION("GOOGLETRANSLATE(A4076, ""en"", ""fr"")"),"sonner bien")</f>
        <v>sonner bien</v>
      </c>
      <c r="CS4076" s="1" t="s">
        <v>94</v>
      </c>
    </row>
    <row r="4077" spans="1:142" ht="14.25" customHeight="1" x14ac:dyDescent="0.3">
      <c r="A4077" s="1" t="s">
        <v>4218</v>
      </c>
      <c r="B4077" s="1" t="str">
        <f ca="1">IFERROR(__xludf.DUMMYFUNCTION("GOOGLETRANSLATE(A4077, ""en"", ""fr"")"),"pétrole brut aigre")</f>
        <v>pétrole brut aigre</v>
      </c>
      <c r="M4077" s="1" t="s">
        <v>10</v>
      </c>
    </row>
    <row r="4078" spans="1:142" ht="14.25" customHeight="1" x14ac:dyDescent="0.3">
      <c r="A4078" s="1" t="s">
        <v>4219</v>
      </c>
      <c r="B4078" s="1" t="str">
        <f ca="1">IFERROR(__xludf.DUMMYFUNCTION("GOOGLETRANSLATE(A4078, ""en"", ""fr"")"),"Gaz naturel aigre")</f>
        <v>Gaz naturel aigre</v>
      </c>
      <c r="EL4078" s="1" t="s">
        <v>139</v>
      </c>
    </row>
    <row r="4079" spans="1:142" ht="14.25" customHeight="1" x14ac:dyDescent="0.3">
      <c r="A4079" s="1" t="s">
        <v>4220</v>
      </c>
      <c r="B4079" s="1" t="str">
        <f ca="1">IFERROR(__xludf.DUMMYFUNCTION("GOOGLETRANSLATE(A4079, ""en"", ""fr"")"),"Arne au sud")</f>
        <v>Arne au sud</v>
      </c>
      <c r="R4079" s="1" t="s">
        <v>15</v>
      </c>
      <c r="CS4079" s="1" t="s">
        <v>94</v>
      </c>
    </row>
    <row r="4080" spans="1:142" ht="14.25" customHeight="1" x14ac:dyDescent="0.3">
      <c r="A4080" s="1" t="s">
        <v>4221</v>
      </c>
      <c r="B4080" s="1" t="str">
        <f ca="1">IFERROR(__xludf.DUMMYFUNCTION("GOOGLETRANSLATE(A4080, ""en"", ""fr"")"),"huile de Belridge du Sud")</f>
        <v>huile de Belridge du Sud</v>
      </c>
      <c r="DD4080" s="1" t="s">
        <v>105</v>
      </c>
      <c r="DF4080" s="1" t="s">
        <v>107</v>
      </c>
      <c r="DK4080" s="1" t="s">
        <v>112</v>
      </c>
    </row>
    <row r="4081" spans="1:142" ht="14.25" customHeight="1" x14ac:dyDescent="0.3">
      <c r="A4081" s="1" t="s">
        <v>4222</v>
      </c>
      <c r="B4081" s="1" t="str">
        <f ca="1">IFERROR(__xludf.DUMMYFUNCTION("GOOGLETRANSLATE(A4081, ""en"", ""fr"")"),"Corée du Sud")</f>
        <v>Corée du Sud</v>
      </c>
      <c r="CU4081" s="1" t="s">
        <v>96</v>
      </c>
      <c r="EK4081" s="1" t="s">
        <v>138</v>
      </c>
    </row>
    <row r="4082" spans="1:142" ht="14.25" customHeight="1" x14ac:dyDescent="0.3">
      <c r="A4082" s="1" t="s">
        <v>4223</v>
      </c>
      <c r="B4082" s="1" t="str">
        <f ca="1">IFERROR(__xludf.DUMMYFUNCTION("GOOGLETRANSLATE(A4082, ""en"", ""fr"")"),"South Louisiane Sweet")</f>
        <v>South Louisiane Sweet</v>
      </c>
      <c r="R4082" s="1" t="s">
        <v>15</v>
      </c>
      <c r="CS4082" s="1" t="s">
        <v>94</v>
      </c>
    </row>
    <row r="4083" spans="1:142" ht="14.25" customHeight="1" x14ac:dyDescent="0.3">
      <c r="A4083" s="1" t="s">
        <v>4224</v>
      </c>
      <c r="B4083" s="1" t="str">
        <f ca="1">IFERROR(__xludf.DUMMYFUNCTION("GOOGLETRANSLATE(A4083, ""en"", ""fr"")"),"Southginskoye")</f>
        <v>Southginskoye</v>
      </c>
      <c r="AK4083" s="1" t="s">
        <v>34</v>
      </c>
      <c r="BH4083" s="1" t="s">
        <v>57</v>
      </c>
      <c r="BW4083" s="1" t="s">
        <v>72</v>
      </c>
      <c r="DD4083" s="1" t="s">
        <v>105</v>
      </c>
    </row>
    <row r="4084" spans="1:142" ht="14.25" customHeight="1" x14ac:dyDescent="0.3">
      <c r="A4084" s="1" t="s">
        <v>4225</v>
      </c>
      <c r="B4084" s="1" t="str">
        <f ca="1">IFERROR(__xludf.DUMMYFUNCTION("GOOGLETRANSLATE(A4084, ""en"", ""fr"")"),"Southern Green Canyon")</f>
        <v>Southern Green Canyon</v>
      </c>
      <c r="R4084" s="1" t="s">
        <v>15</v>
      </c>
      <c r="CS4084" s="1" t="s">
        <v>94</v>
      </c>
    </row>
    <row r="4085" spans="1:142" ht="14.25" customHeight="1" x14ac:dyDescent="0.3">
      <c r="A4085" s="1" t="s">
        <v>4226</v>
      </c>
      <c r="B4085" s="1" t="str">
        <f ca="1">IFERROR(__xludf.DUMMYFUNCTION("GOOGLETRANSLATE(A4085, ""en"", ""fr"")"),"Southchuy")</f>
        <v>Southchuy</v>
      </c>
      <c r="AK4085" s="1" t="s">
        <v>34</v>
      </c>
      <c r="BH4085" s="1" t="s">
        <v>57</v>
      </c>
      <c r="BW4085" s="1" t="s">
        <v>72</v>
      </c>
      <c r="DD4085" s="1" t="s">
        <v>105</v>
      </c>
    </row>
    <row r="4086" spans="1:142" ht="14.25" customHeight="1" x14ac:dyDescent="0.3">
      <c r="A4086" s="1" t="s">
        <v>4227</v>
      </c>
      <c r="B4086" s="1" t="str">
        <f ca="1">IFERROR(__xludf.DUMMYFUNCTION("GOOGLETRANSLATE(A4086, ""en"", ""fr"")"),"Mélange de soja")</f>
        <v>Mélange de soja</v>
      </c>
      <c r="R4086" s="1" t="s">
        <v>15</v>
      </c>
      <c r="CS4086" s="1" t="s">
        <v>94</v>
      </c>
    </row>
    <row r="4087" spans="1:142" ht="14.25" customHeight="1" x14ac:dyDescent="0.3">
      <c r="A4087" s="1" t="s">
        <v>4228</v>
      </c>
      <c r="B4087" s="1" t="str">
        <f ca="1">IFERROR(__xludf.DUMMYFUNCTION("GOOGLETRANSLATE(A4087, ""en"", ""fr"")"),"droits de tirage spéciaux")</f>
        <v>droits de tirage spéciaux</v>
      </c>
      <c r="M4087" s="1" t="s">
        <v>10</v>
      </c>
      <c r="EL4087" s="1" t="s">
        <v>139</v>
      </c>
    </row>
    <row r="4088" spans="1:142" ht="14.25" customHeight="1" x14ac:dyDescent="0.3">
      <c r="A4088" s="1" t="s">
        <v>4229</v>
      </c>
      <c r="B4088" s="1" t="str">
        <f ca="1">IFERROR(__xludf.DUMMYFUNCTION("GOOGLETRANSLATE(A4088, ""en"", ""fr"")"),"gravité spécifique")</f>
        <v>gravité spécifique</v>
      </c>
      <c r="CS4088" s="1" t="s">
        <v>94</v>
      </c>
    </row>
    <row r="4089" spans="1:142" ht="14.25" customHeight="1" x14ac:dyDescent="0.3">
      <c r="A4089" s="1" t="s">
        <v>4230</v>
      </c>
      <c r="B4089" s="1" t="str">
        <f ca="1">IFERROR(__xludf.DUMMYFUNCTION("GOOGLETRANSLATE(A4089, ""en"", ""fr"")"),"Gravité spécifique")</f>
        <v>Gravité spécifique</v>
      </c>
      <c r="E4089" s="1" t="s">
        <v>3</v>
      </c>
    </row>
    <row r="4090" spans="1:142" ht="14.25" customHeight="1" x14ac:dyDescent="0.3">
      <c r="A4090" s="1" t="s">
        <v>4231</v>
      </c>
      <c r="B4090" s="1" t="str">
        <f ca="1">IFERROR(__xludf.DUMMYFUNCTION("GOOGLETRANSLATE(A4090, ""en"", ""fr"")"),"chaleur spécifique")</f>
        <v>chaleur spécifique</v>
      </c>
      <c r="CS4090" s="1" t="s">
        <v>94</v>
      </c>
    </row>
    <row r="4091" spans="1:142" ht="14.25" customHeight="1" x14ac:dyDescent="0.3">
      <c r="A4091" s="1" t="s">
        <v>4232</v>
      </c>
      <c r="B4091" s="1" t="str">
        <f ca="1">IFERROR(__xludf.DUMMYFUNCTION("GOOGLETRANSLATE(A4091, ""en"", ""fr"")"),"SPECTACULAIRE")</f>
        <v>SPECTACULAIRE</v>
      </c>
      <c r="H4091" s="1" t="s">
        <v>4964</v>
      </c>
    </row>
    <row r="4092" spans="1:142" ht="14.25" customHeight="1" x14ac:dyDescent="0.3">
      <c r="A4092" s="1" t="s">
        <v>4233</v>
      </c>
      <c r="B4092" s="1" t="str">
        <f ca="1">IFERROR(__xludf.DUMMYFUNCTION("GOOGLETRANSLATE(A4092, ""en"", ""fr"")"),"De façon spectaculaire")</f>
        <v>De façon spectaculaire</v>
      </c>
      <c r="H4092" s="1" t="s">
        <v>4964</v>
      </c>
    </row>
    <row r="4093" spans="1:142" ht="14.25" customHeight="1" x14ac:dyDescent="0.3">
      <c r="A4093" s="1" t="s">
        <v>4234</v>
      </c>
      <c r="B4093" s="1" t="str">
        <f ca="1">IFERROR(__xludf.DUMMYFUNCTION("GOOGLETRANSLATE(A4093, ""en"", ""fr"")"),"répandre")</f>
        <v>répandre</v>
      </c>
      <c r="CS4093" s="1" t="s">
        <v>94</v>
      </c>
    </row>
    <row r="4094" spans="1:142" ht="14.25" customHeight="1" x14ac:dyDescent="0.3">
      <c r="A4094" s="1" t="s">
        <v>4235</v>
      </c>
      <c r="B4094" s="1" t="str">
        <f ca="1">IFERROR(__xludf.DUMMYFUNCTION("GOOGLETRANSLATE(A4094, ""en"", ""fr"")"),"Indicateur de problème de maillot de bain sportif illustré")</f>
        <v>Indicateur de problème de maillot de bain sportif illustré</v>
      </c>
      <c r="M4094" s="1" t="s">
        <v>10</v>
      </c>
    </row>
    <row r="4095" spans="1:142" ht="14.25" customHeight="1" x14ac:dyDescent="0.3">
      <c r="A4095" s="1" t="s">
        <v>4236</v>
      </c>
      <c r="B4095" s="1" t="str">
        <f ca="1">IFERROR(__xludf.DUMMYFUNCTION("GOOGLETRANSLATE(A4095, ""en"", ""fr"")"),"tendance de Spraberry")</f>
        <v>tendance de Spraberry</v>
      </c>
      <c r="DD4095" s="1" t="s">
        <v>105</v>
      </c>
      <c r="DF4095" s="1" t="s">
        <v>107</v>
      </c>
      <c r="DK4095" s="1" t="s">
        <v>112</v>
      </c>
    </row>
    <row r="4096" spans="1:142" ht="14.25" customHeight="1" x14ac:dyDescent="0.3">
      <c r="A4096" s="1" t="s">
        <v>4237</v>
      </c>
      <c r="B4096" s="1" t="str">
        <f ca="1">IFERROR(__xludf.DUMMYFUNCTION("GOOGLETRANSLATE(A4096, ""en"", ""fr"")"),"Patate")</f>
        <v>Patate</v>
      </c>
      <c r="AY4096" s="1" t="s">
        <v>48</v>
      </c>
    </row>
    <row r="4097" spans="1:97" ht="14.25" customHeight="1" x14ac:dyDescent="0.3">
      <c r="A4097" s="1" t="s">
        <v>4238</v>
      </c>
      <c r="B4097" s="1" t="str">
        <f ca="1">IFERROR(__xludf.DUMMYFUNCTION("GOOGLETRANSLATE(A4097, ""en"", ""fr"")"),"sro")</f>
        <v>sro</v>
      </c>
      <c r="M4097" s="1" t="s">
        <v>10</v>
      </c>
    </row>
    <row r="4098" spans="1:97" ht="14.25" customHeight="1" x14ac:dyDescent="0.3">
      <c r="A4098" s="1" t="s">
        <v>4239</v>
      </c>
      <c r="B4098" s="1" t="str">
        <f ca="1">IFERROR(__xludf.DUMMYFUNCTION("GOOGLETRANSLATE(A4098, ""en"", ""fr"")"),"LA STABILITÉ")</f>
        <v>LA STABILITÉ</v>
      </c>
      <c r="H4098" s="1" t="s">
        <v>4964</v>
      </c>
    </row>
    <row r="4099" spans="1:97" ht="14.25" customHeight="1" x14ac:dyDescent="0.3">
      <c r="A4099" s="1" t="s">
        <v>4240</v>
      </c>
      <c r="B4099" s="1" t="str">
        <f ca="1">IFERROR(__xludf.DUMMYFUNCTION("GOOGLETRANSLATE(A4099, ""en"", ""fr"")"),"STABILISATION")</f>
        <v>STABILISATION</v>
      </c>
      <c r="H4099" s="1" t="s">
        <v>4964</v>
      </c>
    </row>
    <row r="4100" spans="1:97" ht="14.25" customHeight="1" x14ac:dyDescent="0.3">
      <c r="A4100" s="1" t="s">
        <v>4241</v>
      </c>
      <c r="B4100" s="1" t="str">
        <f ca="1">IFERROR(__xludf.DUMMYFUNCTION("GOOGLETRANSLATE(A4100, ""en"", ""fr"")"),"Stabilisations")</f>
        <v>Stabilisations</v>
      </c>
      <c r="H4100" s="1" t="s">
        <v>4964</v>
      </c>
    </row>
    <row r="4101" spans="1:97" ht="14.25" customHeight="1" x14ac:dyDescent="0.3">
      <c r="A4101" s="1" t="s">
        <v>4242</v>
      </c>
      <c r="B4101" s="1" t="str">
        <f ca="1">IFERROR(__xludf.DUMMYFUNCTION("GOOGLETRANSLATE(A4101, ""en"", ""fr"")"),"stabiliser")</f>
        <v>stabiliser</v>
      </c>
      <c r="CS4101" s="1" t="s">
        <v>94</v>
      </c>
    </row>
    <row r="4102" spans="1:97" ht="14.25" customHeight="1" x14ac:dyDescent="0.3">
      <c r="A4102" s="1" t="s">
        <v>4243</v>
      </c>
      <c r="B4102" s="1" t="str">
        <f ca="1">IFERROR(__xludf.DUMMYFUNCTION("GOOGLETRANSLATE(A4102, ""en"", ""fr"")"),"STABILISER")</f>
        <v>STABILISER</v>
      </c>
      <c r="H4102" s="1" t="s">
        <v>4964</v>
      </c>
    </row>
    <row r="4103" spans="1:97" ht="14.25" customHeight="1" x14ac:dyDescent="0.3">
      <c r="A4103" s="1" t="s">
        <v>4244</v>
      </c>
      <c r="B4103" s="1" t="str">
        <f ca="1">IFERROR(__xludf.DUMMYFUNCTION("GOOGLETRANSLATE(A4103, ""en"", ""fr"")"),"Stabilisé")</f>
        <v>Stabilisé</v>
      </c>
      <c r="H4103" s="1" t="s">
        <v>4964</v>
      </c>
    </row>
    <row r="4104" spans="1:97" ht="14.25" customHeight="1" x14ac:dyDescent="0.3">
      <c r="A4104" s="1" t="s">
        <v>4245</v>
      </c>
      <c r="B4104" s="1" t="str">
        <f ca="1">IFERROR(__xludf.DUMMYFUNCTION("GOOGLETRANSLATE(A4104, ""en"", ""fr"")"),"Se stabiliser")</f>
        <v>Se stabiliser</v>
      </c>
      <c r="H4104" s="1" t="s">
        <v>4964</v>
      </c>
    </row>
    <row r="4105" spans="1:97" ht="14.25" customHeight="1" x14ac:dyDescent="0.3">
      <c r="A4105" s="1" t="s">
        <v>4246</v>
      </c>
      <c r="B4105" s="1" t="str">
        <f ca="1">IFERROR(__xludf.DUMMYFUNCTION("GOOGLETRANSLATE(A4105, ""en"", ""fr"")"),"STABILISATION")</f>
        <v>STABILISATION</v>
      </c>
      <c r="H4105" s="1" t="s">
        <v>4964</v>
      </c>
    </row>
    <row r="4106" spans="1:97" ht="14.25" customHeight="1" x14ac:dyDescent="0.3">
      <c r="A4106" s="1" t="s">
        <v>4247</v>
      </c>
      <c r="B4106" s="1" t="str">
        <f ca="1">IFERROR(__xludf.DUMMYFUNCTION("GOOGLETRANSLATE(A4106, ""en"", ""fr"")"),"ÉCURIE")</f>
        <v>ÉCURIE</v>
      </c>
      <c r="H4106" s="1" t="s">
        <v>4964</v>
      </c>
    </row>
    <row r="4107" spans="1:97" ht="14.25" customHeight="1" x14ac:dyDescent="0.3">
      <c r="A4107" s="1" t="s">
        <v>4248</v>
      </c>
      <c r="B4107" s="1" t="str">
        <f ca="1">IFERROR(__xludf.DUMMYFUNCTION("GOOGLETRANSLATE(A4107, ""en"", ""fr"")"),"marché stable")</f>
        <v>marché stable</v>
      </c>
      <c r="M4107" s="1" t="s">
        <v>10</v>
      </c>
    </row>
    <row r="4108" spans="1:97" ht="14.25" customHeight="1" x14ac:dyDescent="0.3">
      <c r="A4108" s="1" t="s">
        <v>4249</v>
      </c>
      <c r="B4108" s="1" t="str">
        <f ca="1">IFERROR(__xludf.DUMMYFUNCTION("GOOGLETRANSLATE(A4108, ""en"", ""fr"")"),"stagflation")</f>
        <v>stagflation</v>
      </c>
      <c r="M4108" s="1" t="s">
        <v>10</v>
      </c>
    </row>
    <row r="4109" spans="1:97" ht="14.25" customHeight="1" x14ac:dyDescent="0.3">
      <c r="A4109" s="1" t="s">
        <v>4250</v>
      </c>
      <c r="B4109" s="1" t="str">
        <f ca="1">IFERROR(__xludf.DUMMYFUNCTION("GOOGLETRANSLATE(A4109, ""en"", ""fr"")"),"ÉCHELONNEMENT")</f>
        <v>ÉCHELONNEMENT</v>
      </c>
      <c r="D4109" s="1" t="s">
        <v>4963</v>
      </c>
    </row>
    <row r="4110" spans="1:97" ht="14.25" customHeight="1" x14ac:dyDescent="0.3">
      <c r="A4110" s="1" t="s">
        <v>4251</v>
      </c>
      <c r="B4110" s="1" t="str">
        <f ca="1">IFERROR(__xludf.DUMMYFUNCTION("GOOGLETRANSLATE(A4110, ""en"", ""fr"")"),"STAGNANT")</f>
        <v>STAGNANT</v>
      </c>
      <c r="D4110" s="1" t="s">
        <v>4963</v>
      </c>
    </row>
    <row r="4111" spans="1:97" ht="14.25" customHeight="1" x14ac:dyDescent="0.3">
      <c r="A4111" s="1" t="s">
        <v>4252</v>
      </c>
      <c r="B4111" s="1" t="str">
        <f ca="1">IFERROR(__xludf.DUMMYFUNCTION("GOOGLETRANSLATE(A4111, ""en"", ""fr"")"),"STAGNER")</f>
        <v>STAGNER</v>
      </c>
      <c r="D4111" s="1" t="s">
        <v>4963</v>
      </c>
    </row>
    <row r="4112" spans="1:97" ht="14.25" customHeight="1" x14ac:dyDescent="0.3">
      <c r="A4112" s="1" t="s">
        <v>4253</v>
      </c>
      <c r="B4112" s="1" t="str">
        <f ca="1">IFERROR(__xludf.DUMMYFUNCTION("GOOGLETRANSLATE(A4112, ""en"", ""fr"")"),"Stagné")</f>
        <v>Stagné</v>
      </c>
      <c r="D4112" s="1" t="s">
        <v>4963</v>
      </c>
    </row>
    <row r="4113" spans="1:142" ht="14.25" customHeight="1" x14ac:dyDescent="0.3">
      <c r="A4113" s="1" t="s">
        <v>4254</v>
      </c>
      <c r="B4113" s="1" t="str">
        <f ca="1">IFERROR(__xludf.DUMMYFUNCTION("GOOGLETRANSLATE(A4113, ""en"", ""fr"")"),"Stagner")</f>
        <v>Stagner</v>
      </c>
      <c r="D4113" s="1" t="s">
        <v>4963</v>
      </c>
    </row>
    <row r="4114" spans="1:142" ht="14.25" customHeight="1" x14ac:dyDescent="0.3">
      <c r="A4114" s="1" t="s">
        <v>4255</v>
      </c>
      <c r="B4114" s="1" t="str">
        <f ca="1">IFERROR(__xludf.DUMMYFUNCTION("GOOGLETRANSLATE(A4114, ""en"", ""fr"")"),"Stagnant")</f>
        <v>Stagnant</v>
      </c>
      <c r="D4114" s="1" t="s">
        <v>4963</v>
      </c>
    </row>
    <row r="4115" spans="1:142" ht="14.25" customHeight="1" x14ac:dyDescent="0.3">
      <c r="A4115" s="1" t="s">
        <v>4256</v>
      </c>
      <c r="B4115" s="1" t="str">
        <f ca="1">IFERROR(__xludf.DUMMYFUNCTION("GOOGLETRANSLATE(A4115, ""en"", ""fr"")"),"STAGNATION")</f>
        <v>STAGNATION</v>
      </c>
      <c r="D4115" s="1" t="s">
        <v>4963</v>
      </c>
    </row>
    <row r="4116" spans="1:142" ht="14.25" customHeight="1" x14ac:dyDescent="0.3">
      <c r="A4116" s="1" t="s">
        <v>4257</v>
      </c>
      <c r="B4116" s="1" t="str">
        <f ca="1">IFERROR(__xludf.DUMMYFUNCTION("GOOGLETRANSLATE(A4116, ""en"", ""fr"")"),"Coûts standard")</f>
        <v>Coûts standard</v>
      </c>
      <c r="CR4116" s="1" t="s">
        <v>93</v>
      </c>
    </row>
    <row r="4117" spans="1:142" ht="14.25" customHeight="1" x14ac:dyDescent="0.3">
      <c r="A4117" s="1" t="s">
        <v>4258</v>
      </c>
      <c r="B4117" s="1" t="str">
        <f ca="1">IFERROR(__xludf.DUMMYFUNCTION("GOOGLETRANSLATE(A4117, ""en"", ""fr"")"),"Coûts standard plus les écarts")</f>
        <v>Coûts standard plus les écarts</v>
      </c>
      <c r="CR4117" s="1" t="s">
        <v>93</v>
      </c>
    </row>
    <row r="4118" spans="1:142" ht="14.25" customHeight="1" x14ac:dyDescent="0.3">
      <c r="A4118" s="1" t="s">
        <v>4259</v>
      </c>
      <c r="B4118" s="1" t="str">
        <f ca="1">IFERROR(__xludf.DUMMYFUNCTION("GOOGLETRANSLATE(A4118, ""en"", ""fr"")"),"standard de vie")</f>
        <v>standard de vie</v>
      </c>
      <c r="M4118" s="1" t="s">
        <v>10</v>
      </c>
    </row>
    <row r="4119" spans="1:142" ht="14.25" customHeight="1" x14ac:dyDescent="0.3">
      <c r="A4119" s="1" t="s">
        <v>4260</v>
      </c>
      <c r="B4119" s="1" t="str">
        <f ca="1">IFERROR(__xludf.DUMMYFUNCTION("GOOGLETRANSLATE(A4119, ""en"", ""fr"")"),"Bubble de vie")</f>
        <v>Bubble de vie</v>
      </c>
      <c r="M4119" s="1" t="s">
        <v>10</v>
      </c>
    </row>
    <row r="4120" spans="1:142" ht="14.25" customHeight="1" x14ac:dyDescent="0.3">
      <c r="A4120" s="1" t="s">
        <v>4261</v>
      </c>
      <c r="B4120" s="1" t="str">
        <f ca="1">IFERROR(__xludf.DUMMYFUNCTION("GOOGLETRANSLATE(A4120, ""en"", ""fr"")"),"Conditions de référence standard")</f>
        <v>Conditions de référence standard</v>
      </c>
      <c r="EL4120" s="1" t="s">
        <v>139</v>
      </c>
    </row>
    <row r="4121" spans="1:142" ht="14.25" customHeight="1" x14ac:dyDescent="0.3">
      <c r="A4121" s="1" t="s">
        <v>4262</v>
      </c>
      <c r="B4121" s="1" t="str">
        <f ca="1">IFERROR(__xludf.DUMMYFUNCTION("GOOGLETRANSLATE(A4121, ""en"", ""fr"")"),"ARRÊT")</f>
        <v>ARRÊT</v>
      </c>
      <c r="D4121" s="1" t="s">
        <v>4963</v>
      </c>
    </row>
    <row r="4122" spans="1:142" ht="14.25" customHeight="1" x14ac:dyDescent="0.3">
      <c r="A4122" s="1" t="s">
        <v>4263</v>
      </c>
      <c r="B4122" s="1" t="str">
        <f ca="1">IFERROR(__xludf.DUMMYFUNCTION("GOOGLETRANSLATE(A4122, ""en"", ""fr"")"),"À l'arrêt")</f>
        <v>À l'arrêt</v>
      </c>
      <c r="D4122" s="1" t="s">
        <v>4963</v>
      </c>
    </row>
    <row r="4123" spans="1:142" ht="14.25" customHeight="1" x14ac:dyDescent="0.3">
      <c r="A4123" s="1" t="s">
        <v>4264</v>
      </c>
      <c r="B4123" s="1" t="str">
        <f ca="1">IFERROR(__xludf.DUMMYFUNCTION("GOOGLETRANSLATE(A4123, ""en"", ""fr"")"),"Index Starbucks")</f>
        <v>Index Starbucks</v>
      </c>
      <c r="M4123" s="1" t="s">
        <v>10</v>
      </c>
    </row>
    <row r="4124" spans="1:142" ht="14.25" customHeight="1" x14ac:dyDescent="0.3">
      <c r="A4124" s="1" t="s">
        <v>4265</v>
      </c>
      <c r="B4124" s="1" t="str">
        <f ca="1">IFERROR(__xludf.DUMMYFUNCTION("GOOGLETRANSLATE(A4124, ""en"", ""fr"")"),"état des flux de trésorerie")</f>
        <v>état des flux de trésorerie</v>
      </c>
      <c r="CR4124" s="1" t="s">
        <v>93</v>
      </c>
    </row>
    <row r="4125" spans="1:142" ht="14.25" customHeight="1" x14ac:dyDescent="0.3">
      <c r="A4125" s="1" t="s">
        <v>4266</v>
      </c>
      <c r="B4125" s="1" t="str">
        <f ca="1">IFERROR(__xludf.DUMMYFUNCTION("GOOGLETRANSLATE(A4125, ""en"", ""fr"")"),"statfjord")</f>
        <v>statfjord</v>
      </c>
      <c r="BB4125" s="1" t="s">
        <v>51</v>
      </c>
      <c r="DD4125" s="1" t="s">
        <v>105</v>
      </c>
    </row>
    <row r="4126" spans="1:142" ht="14.25" customHeight="1" x14ac:dyDescent="0.3">
      <c r="A4126" s="1" t="s">
        <v>4267</v>
      </c>
      <c r="B4126" s="1" t="str">
        <f ca="1">IFERROR(__xludf.DUMMYFUNCTION("GOOGLETRANSLATE(A4126, ""en"", ""fr"")"),"mélangeur statique")</f>
        <v>mélangeur statique</v>
      </c>
      <c r="CS4126" s="1" t="s">
        <v>94</v>
      </c>
    </row>
    <row r="4127" spans="1:142" ht="14.25" customHeight="1" x14ac:dyDescent="0.3">
      <c r="A4127" s="1" t="s">
        <v>4268</v>
      </c>
      <c r="B4127" s="1" t="str">
        <f ca="1">IFERROR(__xludf.DUMMYFUNCTION("GOOGLETRANSLATE(A4127, ""en"", ""fr"")"),"Ratio de liquidité statutaire")</f>
        <v>Ratio de liquidité statutaire</v>
      </c>
      <c r="M4127" s="1" t="s">
        <v>10</v>
      </c>
    </row>
    <row r="4128" spans="1:142" ht="14.25" customHeight="1" x14ac:dyDescent="0.3">
      <c r="A4128" s="1" t="s">
        <v>4269</v>
      </c>
      <c r="B4128" s="1" t="str">
        <f ca="1">IFERROR(__xludf.DUMMYFUNCTION("GOOGLETRANSLATE(A4128, ""en"", ""fr"")"),"séjour")</f>
        <v>séjour</v>
      </c>
      <c r="M4128" s="1" t="s">
        <v>10</v>
      </c>
    </row>
    <row r="4129" spans="1:142" ht="14.25" customHeight="1" x14ac:dyDescent="0.3">
      <c r="A4129" s="1" t="s">
        <v>4270</v>
      </c>
      <c r="B4129" s="1" t="str">
        <f ca="1">IFERROR(__xludf.DUMMYFUNCTION("GOOGLETRANSLATE(A4129, ""en"", ""fr"")"),"Générateurs de vapeur")</f>
        <v>Générateurs de vapeur</v>
      </c>
      <c r="E4129" s="1" t="s">
        <v>3</v>
      </c>
    </row>
    <row r="4130" spans="1:142" ht="14.25" customHeight="1" x14ac:dyDescent="0.3">
      <c r="A4130" s="1" t="s">
        <v>4271</v>
      </c>
      <c r="B4130" s="1" t="str">
        <f ca="1">IFERROR(__xludf.DUMMYFUNCTION("GOOGLETRANSLATE(A4130, ""en"", ""fr"")"),"Séparateur de vapeur")</f>
        <v>Séparateur de vapeur</v>
      </c>
      <c r="E4130" s="1" t="s">
        <v>3</v>
      </c>
    </row>
    <row r="4131" spans="1:142" ht="14.25" customHeight="1" x14ac:dyDescent="0.3">
      <c r="A4131" s="1" t="s">
        <v>4272</v>
      </c>
      <c r="B4131" s="1" t="str">
        <f ca="1">IFERROR(__xludf.DUMMYFUNCTION("GOOGLETRANSLATE(A4131, ""en"", ""fr"")"),"Bien du drainage par gravité assisté à la vapeur")</f>
        <v>Bien du drainage par gravité assisté à la vapeur</v>
      </c>
      <c r="E4131" s="1" t="s">
        <v>3</v>
      </c>
    </row>
    <row r="4132" spans="1:142" ht="14.25" customHeight="1" x14ac:dyDescent="0.3">
      <c r="A4132" s="1" t="s">
        <v>4273</v>
      </c>
      <c r="B4132" s="1" t="str">
        <f ca="1">IFERROR(__xludf.DUMMYFUNCTION("GOOGLETRANSLATE(A4132, ""en"", ""fr"")"),"Stephen Ross")</f>
        <v>Stephen Ross</v>
      </c>
      <c r="M4132" s="1" t="s">
        <v>10</v>
      </c>
    </row>
    <row r="4133" spans="1:142" ht="14.25" customHeight="1" x14ac:dyDescent="0.3">
      <c r="A4133" s="1" t="s">
        <v>4274</v>
      </c>
      <c r="B4133" s="1" t="str">
        <f ca="1">IFERROR(__xludf.DUMMYFUNCTION("GOOGLETRANSLATE(A4133, ""en"", ""fr"")"),"stérilisation")</f>
        <v>stérilisation</v>
      </c>
      <c r="M4133" s="1" t="s">
        <v>10</v>
      </c>
    </row>
    <row r="4134" spans="1:142" ht="14.25" customHeight="1" x14ac:dyDescent="0.3">
      <c r="A4134" s="1" t="s">
        <v>4275</v>
      </c>
      <c r="B4134" s="1" t="str">
        <f ca="1">IFERROR(__xludf.DUMMYFUNCTION("GOOGLETRANSLATE(A4134, ""en"", ""fr"")"),"plan de relance")</f>
        <v>plan de relance</v>
      </c>
      <c r="M4134" s="1" t="s">
        <v>10</v>
      </c>
    </row>
    <row r="4135" spans="1:142" ht="14.25" customHeight="1" x14ac:dyDescent="0.3">
      <c r="A4135" s="1" t="s">
        <v>4276</v>
      </c>
      <c r="B4135" s="1" t="str">
        <f ca="1">IFERROR(__xludf.DUMMYFUNCTION("GOOGLETRANSLATE(A4135, ""en"", ""fr"")"),"Bourse")</f>
        <v>Bourse</v>
      </c>
      <c r="CR4135" s="1" t="s">
        <v>93</v>
      </c>
    </row>
    <row r="4136" spans="1:142" ht="14.25" customHeight="1" x14ac:dyDescent="0.3">
      <c r="A4136" s="1" t="s">
        <v>4277</v>
      </c>
      <c r="B4136" s="1" t="str">
        <f ca="1">IFERROR(__xludf.DUMMYFUNCTION("GOOGLETRANSLATE(A4136, ""en"", ""fr"")"),"marché boursier")</f>
        <v>marché boursier</v>
      </c>
      <c r="CR4136" s="1" t="s">
        <v>93</v>
      </c>
    </row>
    <row r="4137" spans="1:142" ht="14.25" customHeight="1" x14ac:dyDescent="0.3">
      <c r="A4137" s="1" t="s">
        <v>4278</v>
      </c>
      <c r="B4137" s="1" t="str">
        <f ca="1">IFERROR(__xludf.DUMMYFUNCTION("GOOGLETRANSLATE(A4137, ""en"", ""fr"")"),"crash boursier")</f>
        <v>crash boursier</v>
      </c>
      <c r="M4137" s="1" t="s">
        <v>10</v>
      </c>
    </row>
    <row r="4138" spans="1:142" ht="14.25" customHeight="1" x14ac:dyDescent="0.3">
      <c r="A4138" s="1" t="s">
        <v>4279</v>
      </c>
      <c r="B4138" s="1" t="str">
        <f ca="1">IFERROR(__xludf.DUMMYFUNCTION("GOOGLETRANSLATE(A4138, ""en"", ""fr"")"),"Vapeurs de réservoir de stock")</f>
        <v>Vapeurs de réservoir de stock</v>
      </c>
      <c r="EL4138" s="1" t="s">
        <v>139</v>
      </c>
    </row>
    <row r="4139" spans="1:142" ht="14.25" customHeight="1" x14ac:dyDescent="0.3">
      <c r="A4139" s="1" t="s">
        <v>4280</v>
      </c>
      <c r="B4139" s="1" t="str">
        <f ca="1">IFERROR(__xludf.DUMMYFUNCTION("GOOGLETRANSLATE(A4139, ""en"", ""fr"")"),"évaluation des actions")</f>
        <v>évaluation des actions</v>
      </c>
      <c r="M4139" s="1" t="s">
        <v>10</v>
      </c>
    </row>
    <row r="4140" spans="1:142" ht="14.25" customHeight="1" x14ac:dyDescent="0.3">
      <c r="A4140" s="1" t="s">
        <v>4281</v>
      </c>
      <c r="B4140" s="1" t="str">
        <f ca="1">IFERROR(__xludf.DUMMYFUNCTION("GOOGLETRANSLATE(A4140, ""en"", ""fr"")"),"Capitaux propres")</f>
        <v>Capitaux propres</v>
      </c>
      <c r="CR4140" s="1" t="s">
        <v>93</v>
      </c>
    </row>
    <row r="4141" spans="1:142" ht="14.25" customHeight="1" x14ac:dyDescent="0.3">
      <c r="A4141" s="1" t="s">
        <v>4282</v>
      </c>
      <c r="B4141" s="1" t="str">
        <f ca="1">IFERROR(__xludf.DUMMYFUNCTION("GOOGLETRANSLATE(A4141, ""en"", ""fr"")"),"VOLÉ")</f>
        <v>VOLÉ</v>
      </c>
      <c r="D4141" s="1" t="s">
        <v>4963</v>
      </c>
    </row>
    <row r="4142" spans="1:142" ht="14.25" customHeight="1" x14ac:dyDescent="0.3">
      <c r="A4142" s="1" t="s">
        <v>4283</v>
      </c>
      <c r="B4142" s="1" t="str">
        <f ca="1">IFERROR(__xludf.DUMMYFUNCTION("GOOGLETRANSLATE(A4142, ""en"", ""fr"")"),"ARRÊT")</f>
        <v>ARRÊT</v>
      </c>
      <c r="D4142" s="1" t="s">
        <v>4963</v>
      </c>
    </row>
    <row r="4143" spans="1:142" ht="14.25" customHeight="1" x14ac:dyDescent="0.3">
      <c r="A4143" s="1" t="s">
        <v>4284</v>
      </c>
      <c r="B4143" s="1" t="str">
        <f ca="1">IFERROR(__xludf.DUMMYFUNCTION("GOOGLETRANSLATE(A4143, ""en"", ""fr"")"),"Arrêts")</f>
        <v>Arrêts</v>
      </c>
      <c r="D4143" s="1" t="s">
        <v>4963</v>
      </c>
    </row>
    <row r="4144" spans="1:142" ht="14.25" customHeight="1" x14ac:dyDescent="0.3">
      <c r="A4144" s="1" t="s">
        <v>4285</v>
      </c>
      <c r="B4144" s="1" t="str">
        <f ca="1">IFERROR(__xludf.DUMMYFUNCTION("GOOGLETRANSLATE(A4144, ""en"", ""fr"")"),"ARRÊTÉ")</f>
        <v>ARRÊTÉ</v>
      </c>
      <c r="D4144" s="1" t="s">
        <v>4963</v>
      </c>
    </row>
    <row r="4145" spans="1:97" ht="14.25" customHeight="1" x14ac:dyDescent="0.3">
      <c r="A4145" s="1" t="s">
        <v>4286</v>
      </c>
      <c r="B4145" s="1" t="str">
        <f ca="1">IFERROR(__xludf.DUMMYFUNCTION("GOOGLETRANSLATE(A4145, ""en"", ""fr"")"),"ARRÊT")</f>
        <v>ARRÊT</v>
      </c>
      <c r="D4145" s="1" t="s">
        <v>4963</v>
      </c>
    </row>
    <row r="4146" spans="1:97" ht="14.25" customHeight="1" x14ac:dyDescent="0.3">
      <c r="A4146" s="1" t="s">
        <v>4287</v>
      </c>
      <c r="B4146" s="1" t="str">
        <f ca="1">IFERROR(__xludf.DUMMYFUNCTION("GOOGLETRANSLATE(A4146, ""en"", ""fr"")"),"Arrêts")</f>
        <v>Arrêts</v>
      </c>
      <c r="D4146" s="1" t="s">
        <v>4963</v>
      </c>
    </row>
    <row r="4147" spans="1:97" ht="14.25" customHeight="1" x14ac:dyDescent="0.3">
      <c r="A4147" s="1" t="s">
        <v>4288</v>
      </c>
      <c r="B4147" s="1" t="str">
        <f ca="1">IFERROR(__xludf.DUMMYFUNCTION("GOOGLETRANSLATE(A4147, ""en"", ""fr"")"),"réserve de valeur")</f>
        <v>réserve de valeur</v>
      </c>
      <c r="M4147" s="1" t="s">
        <v>10</v>
      </c>
    </row>
    <row r="4148" spans="1:97" ht="14.25" customHeight="1" x14ac:dyDescent="0.3">
      <c r="A4148" s="1" t="s">
        <v>4289</v>
      </c>
      <c r="B4148" s="1" t="str">
        <f ca="1">IFERROR(__xludf.DUMMYFUNCTION("GOOGLETRANSLATE(A4148, ""en"", ""fr"")"),"Méthode linéaire")</f>
        <v>Méthode linéaire</v>
      </c>
      <c r="CR4148" s="1" t="s">
        <v>93</v>
      </c>
    </row>
    <row r="4149" spans="1:97" ht="14.25" customHeight="1" x14ac:dyDescent="0.3">
      <c r="A4149" s="1" t="s">
        <v>4290</v>
      </c>
      <c r="B4149" s="1" t="str">
        <f ca="1">IFERROR(__xludf.DUMMYFUNCTION("GOOGLETRANSLATE(A4149, ""en"", ""fr"")"),"à la course droite")</f>
        <v>à la course droite</v>
      </c>
      <c r="CS4149" s="1" t="s">
        <v>94</v>
      </c>
    </row>
    <row r="4150" spans="1:97" ht="14.25" customHeight="1" x14ac:dyDescent="0.3">
      <c r="A4150" s="1" t="s">
        <v>4291</v>
      </c>
      <c r="B4150" s="1" t="str">
        <f ca="1">IFERROR(__xludf.DUMMYFUNCTION("GOOGLETRANSLATE(A4150, ""en"", ""fr"")"),"SOUCHE")</f>
        <v>SOUCHE</v>
      </c>
      <c r="D4150" s="1" t="s">
        <v>4963</v>
      </c>
    </row>
    <row r="4151" spans="1:97" ht="14.25" customHeight="1" x14ac:dyDescent="0.3">
      <c r="A4151" s="1" t="s">
        <v>4292</v>
      </c>
      <c r="B4151" s="1" t="str">
        <f ca="1">IFERROR(__xludf.DUMMYFUNCTION("GOOGLETRANSLATE(A4151, ""en"", ""fr"")"),"TENDU")</f>
        <v>TENDU</v>
      </c>
      <c r="D4151" s="1" t="s">
        <v>4963</v>
      </c>
    </row>
    <row r="4152" spans="1:97" ht="14.25" customHeight="1" x14ac:dyDescent="0.3">
      <c r="A4152" s="1" t="s">
        <v>4293</v>
      </c>
      <c r="B4152" s="1" t="str">
        <f ca="1">IFERROR(__xludf.DUMMYFUNCTION("GOOGLETRANSLATE(A4152, ""en"", ""fr"")"),"Contrainte")</f>
        <v>Contrainte</v>
      </c>
      <c r="D4152" s="1" t="s">
        <v>4963</v>
      </c>
    </row>
    <row r="4153" spans="1:97" ht="14.25" customHeight="1" x14ac:dyDescent="0.3">
      <c r="A4153" s="1" t="s">
        <v>4294</v>
      </c>
      <c r="B4153" s="1" t="str">
        <f ca="1">IFERROR(__xludf.DUMMYFUNCTION("GOOGLETRANSLATE(A4153, ""en"", ""fr"")"),"Tension")</f>
        <v>Tension</v>
      </c>
      <c r="D4153" s="1" t="s">
        <v>4963</v>
      </c>
    </row>
    <row r="4154" spans="1:97" ht="14.25" customHeight="1" x14ac:dyDescent="0.3">
      <c r="A4154" s="1" t="s">
        <v>4295</v>
      </c>
      <c r="B4154" s="1" t="str">
        <f ca="1">IFERROR(__xludf.DUMMYFUNCTION("GOOGLETRANSLATE(A4154, ""en"", ""fr"")"),"échantillonnage stratifié")</f>
        <v>échantillonnage stratifié</v>
      </c>
      <c r="M4154" s="1" t="s">
        <v>10</v>
      </c>
    </row>
    <row r="4155" spans="1:97" ht="14.25" customHeight="1" x14ac:dyDescent="0.3">
      <c r="A4155" s="1" t="s">
        <v>4296</v>
      </c>
      <c r="B4155" s="1" t="str">
        <f ca="1">IFERROR(__xludf.DUMMYFUNCTION("GOOGLETRANSLATE(A4155, ""en"", ""fr"")"),"FORCE")</f>
        <v>FORCE</v>
      </c>
      <c r="H4155" s="1" t="s">
        <v>4964</v>
      </c>
    </row>
    <row r="4156" spans="1:97" ht="14.25" customHeight="1" x14ac:dyDescent="0.3">
      <c r="A4156" s="1" t="s">
        <v>4297</v>
      </c>
      <c r="B4156" s="1" t="str">
        <f ca="1">IFERROR(__xludf.DUMMYFUNCTION("GOOGLETRANSLATE(A4156, ""en"", ""fr"")"),"RENFORCER")</f>
        <v>RENFORCER</v>
      </c>
      <c r="H4156" s="1" t="s">
        <v>4964</v>
      </c>
    </row>
    <row r="4157" spans="1:97" ht="14.25" customHeight="1" x14ac:dyDescent="0.3">
      <c r="A4157" s="1" t="s">
        <v>4298</v>
      </c>
      <c r="B4157" s="1" t="str">
        <f ca="1">IFERROR(__xludf.DUMMYFUNCTION("GOOGLETRANSLATE(A4157, ""en"", ""fr"")"),"Renforcé")</f>
        <v>Renforcé</v>
      </c>
      <c r="H4157" s="1" t="s">
        <v>4964</v>
      </c>
    </row>
    <row r="4158" spans="1:97" ht="14.25" customHeight="1" x14ac:dyDescent="0.3">
      <c r="A4158" s="1" t="s">
        <v>4299</v>
      </c>
      <c r="B4158" s="1" t="str">
        <f ca="1">IFERROR(__xludf.DUMMYFUNCTION("GOOGLETRANSLATE(A4158, ""en"", ""fr"")"),"RENFORCEMENT")</f>
        <v>RENFORCEMENT</v>
      </c>
      <c r="H4158" s="1" t="s">
        <v>4964</v>
      </c>
    </row>
    <row r="4159" spans="1:97" ht="14.25" customHeight="1" x14ac:dyDescent="0.3">
      <c r="A4159" s="1" t="s">
        <v>4300</v>
      </c>
      <c r="B4159" s="1" t="str">
        <f ca="1">IFERROR(__xludf.DUMMYFUNCTION("GOOGLETRANSLATE(A4159, ""en"", ""fr"")"),"Renforcer")</f>
        <v>Renforcer</v>
      </c>
      <c r="H4159" s="1" t="s">
        <v>4964</v>
      </c>
    </row>
    <row r="4160" spans="1:97" ht="14.25" customHeight="1" x14ac:dyDescent="0.3">
      <c r="A4160" s="1" t="s">
        <v>4301</v>
      </c>
      <c r="B4160" s="1" t="str">
        <f ca="1">IFERROR(__xludf.DUMMYFUNCTION("GOOGLETRANSLATE(A4160, ""en"", ""fr"")"),"FORCES")</f>
        <v>FORCES</v>
      </c>
      <c r="H4160" s="1" t="s">
        <v>4964</v>
      </c>
    </row>
    <row r="4161" spans="1:97" ht="14.25" customHeight="1" x14ac:dyDescent="0.3">
      <c r="A4161" s="1" t="s">
        <v>4302</v>
      </c>
      <c r="B4161" s="1" t="str">
        <f ca="1">IFERROR(__xludf.DUMMYFUNCTION("GOOGLETRANSLATE(A4161, ""en"", ""fr"")"),"STRESSER")</f>
        <v>STRESSER</v>
      </c>
      <c r="D4161" s="1" t="s">
        <v>4963</v>
      </c>
    </row>
    <row r="4162" spans="1:97" ht="14.25" customHeight="1" x14ac:dyDescent="0.3">
      <c r="A4162" s="1" t="s">
        <v>4303</v>
      </c>
      <c r="B4162" s="1" t="str">
        <f ca="1">IFERROR(__xludf.DUMMYFUNCTION("GOOGLETRANSLATE(A4162, ""en"", ""fr"")"),"test de stress")</f>
        <v>test de stress</v>
      </c>
      <c r="M4162" s="1" t="s">
        <v>10</v>
      </c>
    </row>
    <row r="4163" spans="1:97" ht="14.25" customHeight="1" x14ac:dyDescent="0.3">
      <c r="A4163" s="1" t="s">
        <v>4304</v>
      </c>
      <c r="B4163" s="1" t="str">
        <f ca="1">IFERROR(__xludf.DUMMYFUNCTION("GOOGLETRANSLATE(A4163, ""en"", ""fr"")"),"Stressé")</f>
        <v>Stressé</v>
      </c>
      <c r="D4163" s="1" t="s">
        <v>4963</v>
      </c>
    </row>
    <row r="4164" spans="1:97" ht="14.25" customHeight="1" x14ac:dyDescent="0.3">
      <c r="A4164" s="1" t="s">
        <v>4305</v>
      </c>
      <c r="B4164" s="1" t="str">
        <f ca="1">IFERROR(__xludf.DUMMYFUNCTION("GOOGLETRANSLATE(A4164, ""en"", ""fr"")"),"Stress")</f>
        <v>Stress</v>
      </c>
      <c r="D4164" s="1" t="s">
        <v>4963</v>
      </c>
    </row>
    <row r="4165" spans="1:97" ht="14.25" customHeight="1" x14ac:dyDescent="0.3">
      <c r="A4165" s="1" t="s">
        <v>4306</v>
      </c>
      <c r="B4165" s="1" t="str">
        <f ca="1">IFERROR(__xludf.DUMMYFUNCTION("GOOGLETRANSLATE(A4165, ""en"", ""fr"")"),"Stressant")</f>
        <v>Stressant</v>
      </c>
      <c r="D4165" s="1" t="s">
        <v>4963</v>
      </c>
    </row>
    <row r="4166" spans="1:97" ht="14.25" customHeight="1" x14ac:dyDescent="0.3">
      <c r="A4166" s="1" t="s">
        <v>4307</v>
      </c>
      <c r="B4166" s="1" t="str">
        <f ca="1">IFERROR(__xludf.DUMMYFUNCTION("GOOGLETRANSLATE(A4166, ""en"", ""fr"")"),"Stress")</f>
        <v>Stress</v>
      </c>
      <c r="D4166" s="1" t="s">
        <v>4963</v>
      </c>
    </row>
    <row r="4167" spans="1:97" ht="14.25" customHeight="1" x14ac:dyDescent="0.3">
      <c r="A4167" s="1" t="s">
        <v>4308</v>
      </c>
      <c r="B4167" s="1" t="str">
        <f ca="1">IFERROR(__xludf.DUMMYFUNCTION("GOOGLETRANSLATE(A4167, ""en"", ""fr"")"),"STRICT")</f>
        <v>STRICT</v>
      </c>
      <c r="D4167" s="1" t="s">
        <v>4963</v>
      </c>
    </row>
    <row r="4168" spans="1:97" ht="14.25" customHeight="1" x14ac:dyDescent="0.3">
      <c r="A4168" s="1" t="s">
        <v>4309</v>
      </c>
      <c r="B4168" s="1" t="str">
        <f ca="1">IFERROR(__xludf.DUMMYFUNCTION("GOOGLETRANSLATE(A4168, ""en"", ""fr"")"),"FORT")</f>
        <v>FORT</v>
      </c>
      <c r="H4168" s="1" t="s">
        <v>4964</v>
      </c>
    </row>
    <row r="4169" spans="1:97" ht="14.25" customHeight="1" x14ac:dyDescent="0.3">
      <c r="A4169" s="1" t="s">
        <v>4310</v>
      </c>
      <c r="B4169" s="1" t="str">
        <f ca="1">IFERROR(__xludf.DUMMYFUNCTION("GOOGLETRANSLATE(A4169, ""en"", ""fr"")"),"Politique en dollars fortes")</f>
        <v>Politique en dollars fortes</v>
      </c>
      <c r="M4169" s="1" t="s">
        <v>10</v>
      </c>
    </row>
    <row r="4170" spans="1:97" ht="14.25" customHeight="1" x14ac:dyDescent="0.3">
      <c r="A4170" s="1" t="s">
        <v>4311</v>
      </c>
      <c r="B4170" s="1" t="str">
        <f ca="1">IFERROR(__xludf.DUMMYFUNCTION("GOOGLETRANSLATE(A4170, ""en"", ""fr"")"),"PLUS FORTE")</f>
        <v>PLUS FORTE</v>
      </c>
      <c r="H4170" s="1" t="s">
        <v>4964</v>
      </c>
    </row>
    <row r="4171" spans="1:97" ht="14.25" customHeight="1" x14ac:dyDescent="0.3">
      <c r="A4171" s="1" t="s">
        <v>4312</v>
      </c>
      <c r="B4171" s="1" t="str">
        <f ca="1">IFERROR(__xludf.DUMMYFUNCTION("GOOGLETRANSLATE(A4171, ""en"", ""fr"")"),"Le plus fort")</f>
        <v>Le plus fort</v>
      </c>
      <c r="H4171" s="1" t="s">
        <v>4964</v>
      </c>
    </row>
    <row r="4172" spans="1:97" ht="14.25" customHeight="1" x14ac:dyDescent="0.3">
      <c r="A4172" s="1" t="s">
        <v>4313</v>
      </c>
      <c r="B4172" s="1" t="str">
        <f ca="1">IFERROR(__xludf.DUMMYFUNCTION("GOOGLETRANSLATE(A4172, ""en"", ""fr"")"),"inflation structurelle")</f>
        <v>inflation structurelle</v>
      </c>
      <c r="M4172" s="1" t="s">
        <v>10</v>
      </c>
    </row>
    <row r="4173" spans="1:97" ht="14.25" customHeight="1" x14ac:dyDescent="0.3">
      <c r="A4173" s="1" t="s">
        <v>4314</v>
      </c>
      <c r="B4173" s="1" t="str">
        <f ca="1">IFERROR(__xludf.DUMMYFUNCTION("GOOGLETRANSLATE(A4173, ""en"", ""fr"")"),"Sun den")</f>
        <v>Sun den</v>
      </c>
      <c r="R4173" s="1" t="s">
        <v>15</v>
      </c>
      <c r="CS4173" s="1" t="s">
        <v>94</v>
      </c>
    </row>
    <row r="4174" spans="1:97" ht="14.25" customHeight="1" x14ac:dyDescent="0.3">
      <c r="A4174" s="1" t="s">
        <v>4315</v>
      </c>
      <c r="B4174" s="1" t="str">
        <f ca="1">IFERROR(__xludf.DUMMYFUNCTION("GOOGLETRANSLATE(A4174, ""en"", ""fr"")"),"Soumis")</f>
        <v>Soumis</v>
      </c>
      <c r="D4174" s="1" t="s">
        <v>4963</v>
      </c>
    </row>
    <row r="4175" spans="1:97" ht="14.25" customHeight="1" x14ac:dyDescent="0.3">
      <c r="A4175" s="1" t="s">
        <v>4316</v>
      </c>
      <c r="B4175" s="1" t="str">
        <f ca="1">IFERROR(__xludf.DUMMYFUNCTION("GOOGLETRANSLATE(A4175, ""en"", ""fr"")"),"SOUMETTRE")</f>
        <v>SOUMETTRE</v>
      </c>
      <c r="D4175" s="1" t="s">
        <v>4963</v>
      </c>
    </row>
    <row r="4176" spans="1:97" ht="14.25" customHeight="1" x14ac:dyDescent="0.3">
      <c r="A4176" s="1" t="s">
        <v>4317</v>
      </c>
      <c r="B4176" s="1" t="str">
        <f ca="1">IFERROR(__xludf.DUMMYFUNCTION("GOOGLETRANSLATE(A4176, ""en"", ""fr"")"),"SUJÉTION")</f>
        <v>SUJÉTION</v>
      </c>
      <c r="D4176" s="1" t="s">
        <v>4963</v>
      </c>
    </row>
    <row r="4177" spans="1:136" ht="14.25" customHeight="1" x14ac:dyDescent="0.3">
      <c r="A4177" s="1" t="s">
        <v>4318</v>
      </c>
      <c r="B4177" s="1" t="str">
        <f ca="1">IFERROR(__xludf.DUMMYFUNCTION("GOOGLETRANSLATE(A4177, ""en"", ""fr"")"),"ASSIGNATION")</f>
        <v>ASSIGNATION</v>
      </c>
      <c r="D4177" s="1" t="s">
        <v>4963</v>
      </c>
    </row>
    <row r="4178" spans="1:136" ht="14.25" customHeight="1" x14ac:dyDescent="0.3">
      <c r="A4178" s="1" t="s">
        <v>4319</v>
      </c>
      <c r="B4178" s="1" t="str">
        <f ca="1">IFERROR(__xludf.DUMMYFUNCTION("GOOGLETRANSLATE(A4178, ""en"", ""fr"")"),"Assigné à comparaître")</f>
        <v>Assigné à comparaître</v>
      </c>
      <c r="D4178" s="1" t="s">
        <v>4963</v>
      </c>
    </row>
    <row r="4179" spans="1:136" ht="14.25" customHeight="1" x14ac:dyDescent="0.3">
      <c r="A4179" s="1" t="s">
        <v>4320</v>
      </c>
      <c r="B4179" s="1" t="str">
        <f ca="1">IFERROR(__xludf.DUMMYFUNCTION("GOOGLETRANSLATE(A4179, ""en"", ""fr"")"),"Assignation")</f>
        <v>Assignation</v>
      </c>
      <c r="D4179" s="1" t="s">
        <v>4963</v>
      </c>
    </row>
    <row r="4180" spans="1:136" ht="14.25" customHeight="1" x14ac:dyDescent="0.3">
      <c r="A4180" s="1" t="s">
        <v>4321</v>
      </c>
      <c r="B4180" s="1" t="str">
        <f ca="1">IFERROR(__xludf.DUMMYFUNCTION("GOOGLETRANSLATE(A4180, ""en"", ""fr"")"),"hypothèque subprime")</f>
        <v>hypothèque subprime</v>
      </c>
      <c r="Q4180" s="1" t="s">
        <v>14</v>
      </c>
      <c r="EF4180" s="1" t="s">
        <v>133</v>
      </c>
    </row>
    <row r="4181" spans="1:136" ht="14.25" customHeight="1" x14ac:dyDescent="0.3">
      <c r="A4181" s="1" t="s">
        <v>4322</v>
      </c>
      <c r="B4181" s="1" t="str">
        <f ca="1">IFERROR(__xludf.DUMMYFUNCTION("GOOGLETRANSLATE(A4181, ""en"", ""fr"")"),"hypothèque subprime")</f>
        <v>hypothèque subprime</v>
      </c>
      <c r="Q4181" s="1" t="s">
        <v>14</v>
      </c>
      <c r="EF4181" s="1" t="s">
        <v>133</v>
      </c>
    </row>
    <row r="4182" spans="1:136" ht="14.25" customHeight="1" x14ac:dyDescent="0.3">
      <c r="A4182" s="1" t="s">
        <v>4323</v>
      </c>
      <c r="B4182" s="1" t="str">
        <f ca="1">IFERROR(__xludf.DUMMYFUNCTION("GOOGLETRANSLATE(A4182, ""en"", ""fr"")"),"Subsalter")</f>
        <v>Subsalter</v>
      </c>
      <c r="E4182" s="1" t="s">
        <v>3</v>
      </c>
    </row>
    <row r="4183" spans="1:136" ht="14.25" customHeight="1" x14ac:dyDescent="0.3">
      <c r="A4183" s="1" t="s">
        <v>4324</v>
      </c>
      <c r="B4183" s="1" t="str">
        <f ca="1">IFERROR(__xludf.DUMMYFUNCTION("GOOGLETRANSLATE(A4183, ""en"", ""fr"")"),"Collecteurs sous-marins")</f>
        <v>Collecteurs sous-marins</v>
      </c>
      <c r="E4183" s="1" t="s">
        <v>3</v>
      </c>
    </row>
    <row r="4184" spans="1:136" ht="14.25" customHeight="1" x14ac:dyDescent="0.3">
      <c r="A4184" s="1" t="s">
        <v>4325</v>
      </c>
      <c r="B4184" s="1" t="str">
        <f ca="1">IFERROR(__xludf.DUMMYFUNCTION("GOOGLETRANSLATE(A4184, ""en"", ""fr"")"),"Puits de sous-mer")</f>
        <v>Puits de sous-mer</v>
      </c>
      <c r="E4184" s="1" t="s">
        <v>3</v>
      </c>
    </row>
    <row r="4185" spans="1:136" ht="14.25" customHeight="1" x14ac:dyDescent="0.3">
      <c r="A4185" s="1" t="s">
        <v>4326</v>
      </c>
      <c r="B4185" s="1" t="str">
        <f ca="1">IFERROR(__xludf.DUMMYFUNCTION("GOOGLETRANSLATE(A4185, ""en"", ""fr"")"),"subvention")</f>
        <v>subvention</v>
      </c>
      <c r="M4185" s="1" t="s">
        <v>10</v>
      </c>
    </row>
    <row r="4186" spans="1:136" ht="14.25" customHeight="1" x14ac:dyDescent="0.3">
      <c r="A4186" s="1" t="s">
        <v>4327</v>
      </c>
      <c r="B4186" s="1" t="str">
        <f ca="1">IFERROR(__xludf.DUMMYFUNCTION("GOOGLETRANSLATE(A4186, ""en"", ""fr"")"),"De qualité inférieure")</f>
        <v>De qualité inférieure</v>
      </c>
      <c r="D4186" s="1" t="s">
        <v>4963</v>
      </c>
    </row>
    <row r="4187" spans="1:136" ht="14.25" customHeight="1" x14ac:dyDescent="0.3">
      <c r="A4187" s="1" t="s">
        <v>4328</v>
      </c>
      <c r="B4187" s="1" t="str">
        <f ca="1">IFERROR(__xludf.DUMMYFUNCTION("GOOGLETRANSLATE(A4187, ""en"", ""fr"")"),"Structure")</f>
        <v>Structure</v>
      </c>
      <c r="E4187" s="1" t="s">
        <v>3</v>
      </c>
    </row>
    <row r="4188" spans="1:136" ht="14.25" customHeight="1" x14ac:dyDescent="0.3">
      <c r="A4188" s="1" t="s">
        <v>4329</v>
      </c>
      <c r="B4188" s="1" t="str">
        <f ca="1">IFERROR(__xludf.DUMMYFUNCTION("GOOGLETRANSLATE(A4188, ""en"", ""fr"")"),"RÉUSSIR")</f>
        <v>RÉUSSIR</v>
      </c>
      <c r="H4188" s="1" t="s">
        <v>4964</v>
      </c>
    </row>
    <row r="4189" spans="1:136" ht="14.25" customHeight="1" x14ac:dyDescent="0.3">
      <c r="A4189" s="1" t="s">
        <v>4330</v>
      </c>
      <c r="B4189" s="1" t="str">
        <f ca="1">IFERROR(__xludf.DUMMYFUNCTION("GOOGLETRANSLATE(A4189, ""en"", ""fr"")"),"RÉUSSI")</f>
        <v>RÉUSSI</v>
      </c>
      <c r="H4189" s="1" t="s">
        <v>4964</v>
      </c>
    </row>
    <row r="4190" spans="1:136" ht="14.25" customHeight="1" x14ac:dyDescent="0.3">
      <c r="A4190" s="1" t="s">
        <v>4331</v>
      </c>
      <c r="B4190" s="1" t="str">
        <f ca="1">IFERROR(__xludf.DUMMYFUNCTION("GOOGLETRANSLATE(A4190, ""en"", ""fr"")"),"Réussi")</f>
        <v>Réussi</v>
      </c>
      <c r="H4190" s="1" t="s">
        <v>4964</v>
      </c>
    </row>
    <row r="4191" spans="1:136" ht="14.25" customHeight="1" x14ac:dyDescent="0.3">
      <c r="A4191" s="1" t="s">
        <v>4332</v>
      </c>
      <c r="B4191" s="1" t="str">
        <f ca="1">IFERROR(__xludf.DUMMYFUNCTION("GOOGLETRANSLATE(A4191, ""en"", ""fr"")"),"Réussite")</f>
        <v>Réussite</v>
      </c>
      <c r="H4191" s="1" t="s">
        <v>4964</v>
      </c>
    </row>
    <row r="4192" spans="1:136" ht="14.25" customHeight="1" x14ac:dyDescent="0.3">
      <c r="A4192" s="1" t="s">
        <v>4333</v>
      </c>
      <c r="B4192" s="1" t="str">
        <f ca="1">IFERROR(__xludf.DUMMYFUNCTION("GOOGLETRANSLATE(A4192, ""en"", ""fr"")"),"SUCCÈS")</f>
        <v>SUCCÈS</v>
      </c>
      <c r="H4192" s="1" t="s">
        <v>4964</v>
      </c>
    </row>
    <row r="4193" spans="1:137" ht="14.25" customHeight="1" x14ac:dyDescent="0.3">
      <c r="A4193" s="1" t="s">
        <v>4334</v>
      </c>
      <c r="B4193" s="1" t="str">
        <f ca="1">IFERROR(__xludf.DUMMYFUNCTION("GOOGLETRANSLATE(A4193, ""en"", ""fr"")"),"Succès")</f>
        <v>Succès</v>
      </c>
      <c r="H4193" s="1" t="s">
        <v>4964</v>
      </c>
    </row>
    <row r="4194" spans="1:137" ht="14.25" customHeight="1" x14ac:dyDescent="0.3">
      <c r="A4194" s="1" t="s">
        <v>4335</v>
      </c>
      <c r="B4194" s="1" t="str">
        <f ca="1">IFERROR(__xludf.DUMMYFUNCTION("GOOGLETRANSLATE(A4194, ""en"", ""fr"")"),"RÉUSSI")</f>
        <v>RÉUSSI</v>
      </c>
      <c r="H4194" s="1" t="s">
        <v>4964</v>
      </c>
    </row>
    <row r="4195" spans="1:137" ht="14.25" customHeight="1" x14ac:dyDescent="0.3">
      <c r="A4195" s="1" t="s">
        <v>4336</v>
      </c>
      <c r="B4195" s="1" t="str">
        <f ca="1">IFERROR(__xludf.DUMMYFUNCTION("GOOGLETRANSLATE(A4195, ""en"", ""fr"")"),"AVEC SUCCÈS")</f>
        <v>AVEC SUCCÈS</v>
      </c>
      <c r="H4195" s="1" t="s">
        <v>4964</v>
      </c>
    </row>
    <row r="4196" spans="1:137" ht="14.25" customHeight="1" x14ac:dyDescent="0.3">
      <c r="A4196" s="1" t="s">
        <v>4337</v>
      </c>
      <c r="B4196" s="1" t="str">
        <f ca="1">IFERROR(__xludf.DUMMYFUNCTION("GOOGLETRANSLATE(A4196, ""en"", ""fr"")"),"tel")</f>
        <v>tel</v>
      </c>
      <c r="J4196" s="1" t="s">
        <v>7</v>
      </c>
    </row>
    <row r="4197" spans="1:137" ht="14.25" customHeight="1" x14ac:dyDescent="0.3">
      <c r="A4197" s="1" t="s">
        <v>4338</v>
      </c>
      <c r="B4197" s="1" t="str">
        <f ca="1">IFERROR(__xludf.DUMMYFUNCTION("GOOGLETRANSLATE(A4197, ""en"", ""fr"")"),"POURSUIVRE EN JUSTICE")</f>
        <v>POURSUIVRE EN JUSTICE</v>
      </c>
      <c r="D4197" s="1" t="s">
        <v>4963</v>
      </c>
    </row>
    <row r="4198" spans="1:137" ht="14.25" customHeight="1" x14ac:dyDescent="0.3">
      <c r="A4198" s="1" t="s">
        <v>4339</v>
      </c>
      <c r="B4198" s="1" t="str">
        <f ca="1">IFERROR(__xludf.DUMMYFUNCTION("GOOGLETRANSLATE(A4198, ""en"", ""fr"")"),"Poursuivi")</f>
        <v>Poursuivi</v>
      </c>
      <c r="D4198" s="1" t="s">
        <v>4963</v>
      </c>
    </row>
    <row r="4199" spans="1:137" ht="14.25" customHeight="1" x14ac:dyDescent="0.3">
      <c r="A4199" s="1" t="s">
        <v>4340</v>
      </c>
      <c r="B4199" s="1" t="str">
        <f ca="1">IFERROR(__xludf.DUMMYFUNCTION("GOOGLETRANSLATE(A4199, ""en"", ""fr"")"),"Poursuites")</f>
        <v>Poursuites</v>
      </c>
      <c r="D4199" s="1" t="s">
        <v>4963</v>
      </c>
    </row>
    <row r="4200" spans="1:137" ht="14.25" customHeight="1" x14ac:dyDescent="0.3">
      <c r="A4200" s="1" t="s">
        <v>4341</v>
      </c>
      <c r="B4200" s="1" t="str">
        <f ca="1">IFERROR(__xludf.DUMMYFUNCTION("GOOGLETRANSLATE(A4200, ""en"", ""fr"")"),"Mélange de Suez")</f>
        <v>Mélange de Suez</v>
      </c>
      <c r="R4200" s="1" t="s">
        <v>15</v>
      </c>
      <c r="CS4200" s="1" t="s">
        <v>94</v>
      </c>
    </row>
    <row r="4201" spans="1:137" ht="14.25" customHeight="1" x14ac:dyDescent="0.3">
      <c r="A4201" s="1" t="s">
        <v>4342</v>
      </c>
      <c r="B4201" s="1" t="str">
        <f ca="1">IFERROR(__xludf.DUMMYFUNCTION("GOOGLETRANSLATE(A4201, ""en"", ""fr"")"),"SOUFFRIR")</f>
        <v>SOUFFRIR</v>
      </c>
      <c r="D4201" s="1" t="s">
        <v>4963</v>
      </c>
    </row>
    <row r="4202" spans="1:137" ht="14.25" customHeight="1" x14ac:dyDescent="0.3">
      <c r="A4202" s="1" t="s">
        <v>4343</v>
      </c>
      <c r="B4202" s="1" t="str">
        <f ca="1">IFERROR(__xludf.DUMMYFUNCTION("GOOGLETRANSLATE(A4202, ""en"", ""fr"")"),"SOUFFERT")</f>
        <v>SOUFFERT</v>
      </c>
      <c r="D4202" s="1" t="s">
        <v>4963</v>
      </c>
    </row>
    <row r="4203" spans="1:137" ht="14.25" customHeight="1" x14ac:dyDescent="0.3">
      <c r="A4203" s="1" t="s">
        <v>4344</v>
      </c>
      <c r="B4203" s="1" t="str">
        <f ca="1">IFERROR(__xludf.DUMMYFUNCTION("GOOGLETRANSLATE(A4203, ""en"", ""fr"")"),"SOUFFRANCE")</f>
        <v>SOUFFRANCE</v>
      </c>
      <c r="D4203" s="1" t="s">
        <v>4963</v>
      </c>
    </row>
    <row r="4204" spans="1:137" ht="14.25" customHeight="1" x14ac:dyDescent="0.3">
      <c r="A4204" s="1" t="s">
        <v>4345</v>
      </c>
      <c r="B4204" s="1" t="str">
        <f ca="1">IFERROR(__xludf.DUMMYFUNCTION("GOOGLETRANSLATE(A4204, ""en"", ""fr"")"),"Souffrir")</f>
        <v>Souffrir</v>
      </c>
      <c r="D4204" s="1" t="s">
        <v>4963</v>
      </c>
    </row>
    <row r="4205" spans="1:137" ht="14.25" customHeight="1" x14ac:dyDescent="0.3">
      <c r="A4205" s="1" t="s">
        <v>4346</v>
      </c>
      <c r="B4205" s="1" t="str">
        <f ca="1">IFERROR(__xludf.DUMMYFUNCTION("GOOGLETRANSLATE(A4205, ""en"", ""fr"")"),"pain de Sucre")</f>
        <v>pain de Sucre</v>
      </c>
      <c r="AS4205" s="1" t="s">
        <v>42</v>
      </c>
      <c r="BW4205" s="1" t="s">
        <v>72</v>
      </c>
      <c r="DD4205" s="1" t="s">
        <v>105</v>
      </c>
      <c r="EG4205" s="1" t="s">
        <v>134</v>
      </c>
    </row>
    <row r="4206" spans="1:137" ht="14.25" customHeight="1" x14ac:dyDescent="0.3">
      <c r="A4206" s="1" t="s">
        <v>4347</v>
      </c>
      <c r="B4206" s="1" t="str">
        <f ca="1">IFERROR(__xludf.DUMMYFUNCTION("GOOGLETRANSLATE(A4206, ""en"", ""fr"")"),"Poursuite")</f>
        <v>Poursuite</v>
      </c>
      <c r="D4206" s="1" t="s">
        <v>4963</v>
      </c>
    </row>
    <row r="4207" spans="1:137" ht="14.25" customHeight="1" x14ac:dyDescent="0.3">
      <c r="A4207" s="1" t="s">
        <v>4348</v>
      </c>
      <c r="B4207" s="1" t="str">
        <f ca="1">IFERROR(__xludf.DUMMYFUNCTION("GOOGLETRANSLATE(A4207, ""en"", ""fr"")"),"somme des chiffres des années")</f>
        <v>somme des chiffres des années</v>
      </c>
      <c r="CR4207" s="1" t="s">
        <v>93</v>
      </c>
    </row>
    <row r="4208" spans="1:137" ht="14.25" customHeight="1" x14ac:dyDescent="0.3">
      <c r="A4208" s="1" t="s">
        <v>4349</v>
      </c>
      <c r="B4208" s="1" t="str">
        <f ca="1">IFERROR(__xludf.DUMMYFUNCTION("GOOGLETRANSLATE(A4208, ""en"", ""fr"")"),"Convoqué")</f>
        <v>Convoqué</v>
      </c>
      <c r="D4208" s="1" t="s">
        <v>4963</v>
      </c>
    </row>
    <row r="4209" spans="1:132" ht="14.25" customHeight="1" x14ac:dyDescent="0.3">
      <c r="A4209" s="1" t="s">
        <v>4350</v>
      </c>
      <c r="B4209" s="1" t="str">
        <f ca="1">IFERROR(__xludf.DUMMYFUNCTION("GOOGLETRANSLATE(A4209, ""en"", ""fr"")"),"Invocation")</f>
        <v>Invocation</v>
      </c>
      <c r="D4209" s="1" t="s">
        <v>4963</v>
      </c>
    </row>
    <row r="4210" spans="1:132" ht="14.25" customHeight="1" x14ac:dyDescent="0.3">
      <c r="A4210" s="1" t="s">
        <v>4351</v>
      </c>
      <c r="B4210" s="1" t="str">
        <f ca="1">IFERROR(__xludf.DUMMYFUNCTION("GOOGLETRANSLATE(A4210, ""en"", ""fr"")"),"ASSIGNATION")</f>
        <v>ASSIGNATION</v>
      </c>
      <c r="D4210" s="1" t="s">
        <v>4963</v>
      </c>
    </row>
    <row r="4211" spans="1:132" ht="14.25" customHeight="1" x14ac:dyDescent="0.3">
      <c r="A4211" s="1" t="s">
        <v>4352</v>
      </c>
      <c r="B4211" s="1" t="str">
        <f ca="1">IFERROR(__xludf.DUMMYFUNCTION("GOOGLETRANSLATE(A4211, ""en"", ""fr"")"),"Invocations")</f>
        <v>Invocations</v>
      </c>
      <c r="D4211" s="1" t="s">
        <v>4963</v>
      </c>
    </row>
    <row r="4212" spans="1:132" ht="14.25" customHeight="1" x14ac:dyDescent="0.3">
      <c r="A4212" s="1" t="s">
        <v>4353</v>
      </c>
      <c r="B4212" s="1" t="str">
        <f ca="1">IFERROR(__xludf.DUMMYFUNCTION("GOOGLETRANSLATE(A4212, ""en"", ""fr"")"),"sunoco")</f>
        <v>sunoco</v>
      </c>
      <c r="AC4212" s="1" t="s">
        <v>26</v>
      </c>
      <c r="BI4212" s="1" t="s">
        <v>58</v>
      </c>
      <c r="DT4212" s="1" t="s">
        <v>121</v>
      </c>
    </row>
    <row r="4213" spans="1:132" ht="14.25" customHeight="1" x14ac:dyDescent="0.3">
      <c r="A4213" s="1" t="s">
        <v>4354</v>
      </c>
      <c r="B4213" s="1" t="str">
        <f ca="1">IFERROR(__xludf.DUMMYFUNCTION("GOOGLETRANSLATE(A4213, ""en"", ""fr"")"),"raffinerie Sunoco")</f>
        <v>raffinerie Sunoco</v>
      </c>
      <c r="AC4213" s="1" t="s">
        <v>26</v>
      </c>
      <c r="BF4213" s="1" t="s">
        <v>55</v>
      </c>
      <c r="BI4213" s="1" t="s">
        <v>58</v>
      </c>
      <c r="EB4213" s="1" t="s">
        <v>129</v>
      </c>
    </row>
    <row r="4214" spans="1:132" ht="14.25" customHeight="1" x14ac:dyDescent="0.3">
      <c r="A4214" s="1" t="s">
        <v>4355</v>
      </c>
      <c r="B4214" s="1" t="str">
        <f ca="1">IFERROR(__xludf.DUMMYFUNCTION("GOOGLETRANSLATE(A4214, ""en"", ""fr"")"),"SUPÉRIEUR")</f>
        <v>SUPÉRIEUR</v>
      </c>
      <c r="H4214" s="1" t="s">
        <v>4964</v>
      </c>
    </row>
    <row r="4215" spans="1:132" ht="14.25" customHeight="1" x14ac:dyDescent="0.3">
      <c r="A4215" s="1" t="s">
        <v>4356</v>
      </c>
      <c r="B4215" s="1" t="str">
        <f ca="1">IFERROR(__xludf.DUMMYFUNCTION("GOOGLETRANSLATE(A4215, ""en"", ""fr"")"),"le revenu de sécurité supplémentaire")</f>
        <v>le revenu de sécurité supplémentaire</v>
      </c>
      <c r="M4215" s="1" t="s">
        <v>10</v>
      </c>
    </row>
    <row r="4216" spans="1:132" ht="14.25" customHeight="1" x14ac:dyDescent="0.3">
      <c r="A4216" s="1" t="s">
        <v>4357</v>
      </c>
      <c r="B4216" s="1" t="str">
        <f ca="1">IFERROR(__xludf.DUMMYFUNCTION("GOOGLETRANSLATE(A4216, ""en"", ""fr"")"),"programme de financement supplémentaire")</f>
        <v>programme de financement supplémentaire</v>
      </c>
      <c r="M4216" s="1" t="s">
        <v>10</v>
      </c>
    </row>
    <row r="4217" spans="1:132" ht="14.25" customHeight="1" x14ac:dyDescent="0.3">
      <c r="A4217" s="1" t="s">
        <v>4358</v>
      </c>
      <c r="B4217" s="1" t="str">
        <f ca="1">IFERROR(__xludf.DUMMYFUNCTION("GOOGLETRANSLATE(A4217, ""en"", ""fr"")"),"fournir")</f>
        <v>fournir</v>
      </c>
      <c r="M4217" s="1" t="s">
        <v>10</v>
      </c>
    </row>
    <row r="4218" spans="1:132" ht="14.25" customHeight="1" x14ac:dyDescent="0.3">
      <c r="A4218" s="1" t="s">
        <v>4359</v>
      </c>
      <c r="B4218" s="1" t="str">
        <f ca="1">IFERROR(__xludf.DUMMYFUNCTION("GOOGLETRANSLATE(A4218, ""en"", ""fr"")"),"l'offre et la demande")</f>
        <v>l'offre et la demande</v>
      </c>
      <c r="M4218" s="1" t="s">
        <v>10</v>
      </c>
    </row>
    <row r="4219" spans="1:132" ht="14.25" customHeight="1" x14ac:dyDescent="0.3">
      <c r="A4219" s="1" t="s">
        <v>4360</v>
      </c>
      <c r="B4219" s="1" t="str">
        <f ca="1">IFERROR(__xludf.DUMMYFUNCTION("GOOGLETRANSLATE(A4219, ""en"", ""fr"")"),"chaîne d'approvisionnement")</f>
        <v>chaîne d'approvisionnement</v>
      </c>
      <c r="M4219" s="1" t="s">
        <v>10</v>
      </c>
    </row>
    <row r="4220" spans="1:132" ht="14.25" customHeight="1" x14ac:dyDescent="0.3">
      <c r="A4220" s="1" t="s">
        <v>4361</v>
      </c>
      <c r="B4220" s="1" t="str">
        <f ca="1">IFERROR(__xludf.DUMMYFUNCTION("GOOGLETRANSLATE(A4220, ""en"", ""fr"")"),"courbe d'offre")</f>
        <v>courbe d'offre</v>
      </c>
      <c r="M4220" s="1" t="s">
        <v>10</v>
      </c>
    </row>
    <row r="4221" spans="1:132" ht="14.25" customHeight="1" x14ac:dyDescent="0.3">
      <c r="A4221" s="1" t="s">
        <v>4362</v>
      </c>
      <c r="B4221" s="1" t="str">
        <f ca="1">IFERROR(__xludf.DUMMYFUNCTION("GOOGLETRANSLATE(A4221, ""en"", ""fr"")"),"fournir l'élasticité")</f>
        <v>fournir l'élasticité</v>
      </c>
      <c r="M4221" s="1" t="s">
        <v>10</v>
      </c>
    </row>
    <row r="4222" spans="1:132" ht="14.25" customHeight="1" x14ac:dyDescent="0.3">
      <c r="A4222" s="1" t="s">
        <v>4363</v>
      </c>
      <c r="B4222" s="1" t="str">
        <f ca="1">IFERROR(__xludf.DUMMYFUNCTION("GOOGLETRANSLATE(A4222, ""en"", ""fr"")"),"calendrier d'approvisionnement")</f>
        <v>calendrier d'approvisionnement</v>
      </c>
      <c r="M4222" s="1" t="s">
        <v>10</v>
      </c>
    </row>
    <row r="4223" spans="1:132" ht="14.25" customHeight="1" x14ac:dyDescent="0.3">
      <c r="A4223" s="1" t="s">
        <v>4364</v>
      </c>
      <c r="B4223" s="1" t="str">
        <f ca="1">IFERROR(__xludf.DUMMYFUNCTION("GOOGLETRANSLATE(A4223, ""en"", ""fr"")"),"chaîne d'approvisionnement")</f>
        <v>chaîne d'approvisionnement</v>
      </c>
      <c r="M4223" s="1" t="s">
        <v>10</v>
      </c>
    </row>
    <row r="4224" spans="1:132" ht="14.25" customHeight="1" x14ac:dyDescent="0.3">
      <c r="A4224" s="1" t="s">
        <v>4365</v>
      </c>
      <c r="B4224" s="1" t="str">
        <f ca="1">IFERROR(__xludf.DUMMYFUNCTION("GOOGLETRANSLATE(A4224, ""en"", ""fr"")"),"Économie de l'offre")</f>
        <v>Économie de l'offre</v>
      </c>
      <c r="M4224" s="1" t="s">
        <v>10</v>
      </c>
    </row>
    <row r="4225" spans="1:124" ht="14.25" customHeight="1" x14ac:dyDescent="0.3">
      <c r="A4225" s="1" t="s">
        <v>4366</v>
      </c>
      <c r="B4225" s="1" t="str">
        <f ca="1">IFERROR(__xludf.DUMMYFUNCTION("GOOGLETRANSLATE(A4225, ""en"", ""fr"")"),"supranational")</f>
        <v>supranational</v>
      </c>
      <c r="M4225" s="1" t="s">
        <v>10</v>
      </c>
    </row>
    <row r="4226" spans="1:124" ht="14.25" customHeight="1" x14ac:dyDescent="0.3">
      <c r="A4226" s="1" t="s">
        <v>4367</v>
      </c>
      <c r="B4226" s="1" t="str">
        <f ca="1">IFERROR(__xludf.DUMMYFUNCTION("GOOGLETRANSLATE(A4226, ""en"", ""fr"")"),"surfacteur")</f>
        <v>surfacteur</v>
      </c>
      <c r="CS4226" s="1" t="s">
        <v>94</v>
      </c>
    </row>
    <row r="4227" spans="1:124" ht="14.25" customHeight="1" x14ac:dyDescent="0.3">
      <c r="A4227" s="1" t="s">
        <v>4368</v>
      </c>
      <c r="B4227" s="1" t="str">
        <f ca="1">IFERROR(__xludf.DUMMYFUNCTION("GOOGLETRANSLATE(A4227, ""en"", ""fr"")"),"chutneftegas")</f>
        <v>chutneftegas</v>
      </c>
      <c r="BL4227" s="1" t="s">
        <v>61</v>
      </c>
      <c r="DI4227" s="1" t="s">
        <v>110</v>
      </c>
      <c r="DT4227" s="1" t="s">
        <v>121</v>
      </c>
    </row>
    <row r="4228" spans="1:124" ht="14.25" customHeight="1" x14ac:dyDescent="0.3">
      <c r="A4228" s="1" t="s">
        <v>4369</v>
      </c>
      <c r="B4228" s="1" t="str">
        <f ca="1">IFERROR(__xludf.DUMMYFUNCTION("GOOGLETRANSLATE(A4228, ""en"", ""fr"")"),"DÉPASSER")</f>
        <v>DÉPASSER</v>
      </c>
      <c r="H4228" s="1" t="s">
        <v>4964</v>
      </c>
    </row>
    <row r="4229" spans="1:124" ht="14.25" customHeight="1" x14ac:dyDescent="0.3">
      <c r="A4229" s="1" t="s">
        <v>4370</v>
      </c>
      <c r="B4229" s="1" t="str">
        <f ca="1">IFERROR(__xludf.DUMMYFUNCTION("GOOGLETRANSLATE(A4229, ""en"", ""fr"")"),"Dépassé")</f>
        <v>Dépassé</v>
      </c>
      <c r="H4229" s="1" t="s">
        <v>4964</v>
      </c>
    </row>
    <row r="4230" spans="1:124" ht="14.25" customHeight="1" x14ac:dyDescent="0.3">
      <c r="A4230" s="1" t="s">
        <v>4371</v>
      </c>
      <c r="B4230" s="1" t="str">
        <f ca="1">IFERROR(__xludf.DUMMYFUNCTION("GOOGLETRANSLATE(A4230, ""en"", ""fr"")"),"Dépasser")</f>
        <v>Dépasser</v>
      </c>
      <c r="H4230" s="1" t="s">
        <v>4964</v>
      </c>
    </row>
    <row r="4231" spans="1:124" ht="14.25" customHeight="1" x14ac:dyDescent="0.3">
      <c r="A4231" s="1" t="s">
        <v>4372</v>
      </c>
      <c r="B4231" s="1" t="str">
        <f ca="1">IFERROR(__xludf.DUMMYFUNCTION("GOOGLETRANSLATE(A4231, ""en"", ""fr"")"),"Dépassant")</f>
        <v>Dépassant</v>
      </c>
      <c r="H4231" s="1" t="s">
        <v>4964</v>
      </c>
    </row>
    <row r="4232" spans="1:124" ht="14.25" customHeight="1" x14ac:dyDescent="0.3">
      <c r="A4232" s="1" t="s">
        <v>4373</v>
      </c>
      <c r="B4232" s="1" t="str">
        <f ca="1">IFERROR(__xludf.DUMMYFUNCTION("GOOGLETRANSLATE(A4232, ""en"", ""fr"")"),"SE RENDRE")</f>
        <v>SE RENDRE</v>
      </c>
      <c r="D4232" s="1" t="s">
        <v>4963</v>
      </c>
    </row>
    <row r="4233" spans="1:124" ht="14.25" customHeight="1" x14ac:dyDescent="0.3">
      <c r="A4233" s="1" t="s">
        <v>4374</v>
      </c>
      <c r="B4233" s="1" t="str">
        <f ca="1">IFERROR(__xludf.DUMMYFUNCTION("GOOGLETRANSLATE(A4233, ""en"", ""fr"")"),"Abandonné")</f>
        <v>Abandonné</v>
      </c>
      <c r="D4233" s="1" t="s">
        <v>4963</v>
      </c>
    </row>
    <row r="4234" spans="1:124" ht="14.25" customHeight="1" x14ac:dyDescent="0.3">
      <c r="A4234" s="1" t="s">
        <v>4375</v>
      </c>
      <c r="B4234" s="1" t="str">
        <f ca="1">IFERROR(__xludf.DUMMYFUNCTION("GOOGLETRANSLATE(A4234, ""en"", ""fr"")"),"Abandon")</f>
        <v>Abandon</v>
      </c>
      <c r="D4234" s="1" t="s">
        <v>4963</v>
      </c>
    </row>
    <row r="4235" spans="1:124" ht="14.25" customHeight="1" x14ac:dyDescent="0.3">
      <c r="A4235" s="1" t="s">
        <v>4376</v>
      </c>
      <c r="B4235" s="1" t="str">
        <f ca="1">IFERROR(__xludf.DUMMYFUNCTION("GOOGLETRANSLATE(A4235, ""en"", ""fr"")"),"Schémas")</f>
        <v>Schémas</v>
      </c>
      <c r="D4235" s="1" t="s">
        <v>4963</v>
      </c>
    </row>
    <row r="4236" spans="1:124" ht="14.25" customHeight="1" x14ac:dyDescent="0.3">
      <c r="A4236" s="1" t="s">
        <v>4377</v>
      </c>
      <c r="B4236" s="1" t="str">
        <f ca="1">IFERROR(__xludf.DUMMYFUNCTION("GOOGLETRANSLATE(A4236, ""en"", ""fr"")"),"SUSCEPTIBILITÉ")</f>
        <v>SUSCEPTIBILITÉ</v>
      </c>
      <c r="D4236" s="1" t="s">
        <v>4963</v>
      </c>
    </row>
    <row r="4237" spans="1:124" ht="14.25" customHeight="1" x14ac:dyDescent="0.3">
      <c r="A4237" s="1" t="s">
        <v>4378</v>
      </c>
      <c r="B4237" s="1" t="str">
        <f ca="1">IFERROR(__xludf.DUMMYFUNCTION("GOOGLETRANSLATE(A4237, ""en"", ""fr"")"),"SENSIBLE")</f>
        <v>SENSIBLE</v>
      </c>
      <c r="D4237" s="1" t="s">
        <v>4963</v>
      </c>
    </row>
    <row r="4238" spans="1:124" ht="14.25" customHeight="1" x14ac:dyDescent="0.3">
      <c r="A4238" s="1" t="s">
        <v>4379</v>
      </c>
      <c r="B4238" s="1" t="str">
        <f ca="1">IFERROR(__xludf.DUMMYFUNCTION("GOOGLETRANSLATE(A4238, ""en"", ""fr"")"),"SUSPECT")</f>
        <v>SUSPECT</v>
      </c>
      <c r="D4238" s="1" t="s">
        <v>4963</v>
      </c>
    </row>
    <row r="4239" spans="1:124" ht="14.25" customHeight="1" x14ac:dyDescent="0.3">
      <c r="A4239" s="1" t="s">
        <v>4380</v>
      </c>
      <c r="B4239" s="1" t="str">
        <f ca="1">IFERROR(__xludf.DUMMYFUNCTION("GOOGLETRANSLATE(A4239, ""en"", ""fr"")"),"SOUPÇONNÉ")</f>
        <v>SOUPÇONNÉ</v>
      </c>
      <c r="D4239" s="1" t="s">
        <v>4963</v>
      </c>
    </row>
    <row r="4240" spans="1:124" ht="14.25" customHeight="1" x14ac:dyDescent="0.3">
      <c r="A4240" s="1" t="s">
        <v>4381</v>
      </c>
      <c r="B4240" s="1" t="str">
        <f ca="1">IFERROR(__xludf.DUMMYFUNCTION("GOOGLETRANSLATE(A4240, ""en"", ""fr"")"),"Suspects")</f>
        <v>Suspects</v>
      </c>
      <c r="D4240" s="1" t="s">
        <v>4963</v>
      </c>
    </row>
    <row r="4241" spans="1:142" ht="14.25" customHeight="1" x14ac:dyDescent="0.3">
      <c r="A4241" s="1" t="s">
        <v>4382</v>
      </c>
      <c r="B4241" s="1" t="str">
        <f ca="1">IFERROR(__xludf.DUMMYFUNCTION("GOOGLETRANSLATE(A4241, ""en"", ""fr"")"),"SUSPENDRE")</f>
        <v>SUSPENDRE</v>
      </c>
      <c r="D4241" s="1" t="s">
        <v>4963</v>
      </c>
    </row>
    <row r="4242" spans="1:142" ht="14.25" customHeight="1" x14ac:dyDescent="0.3">
      <c r="A4242" s="1" t="s">
        <v>4383</v>
      </c>
      <c r="B4242" s="1" t="str">
        <f ca="1">IFERROR(__xludf.DUMMYFUNCTION("GOOGLETRANSLATE(A4242, ""en"", ""fr"")"),"SUSPENDU")</f>
        <v>SUSPENDU</v>
      </c>
      <c r="D4242" s="1" t="s">
        <v>4963</v>
      </c>
    </row>
    <row r="4243" spans="1:142" ht="14.25" customHeight="1" x14ac:dyDescent="0.3">
      <c r="A4243" s="1" t="s">
        <v>4384</v>
      </c>
      <c r="B4243" s="1" t="str">
        <f ca="1">IFERROR(__xludf.DUMMYFUNCTION("GOOGLETRANSLATE(A4243, ""en"", ""fr"")"),"Découverte suspendue")</f>
        <v>Découverte suspendue</v>
      </c>
      <c r="AY4243" s="1" t="s">
        <v>48</v>
      </c>
    </row>
    <row r="4244" spans="1:142" ht="14.25" customHeight="1" x14ac:dyDescent="0.3">
      <c r="A4244" s="1" t="s">
        <v>4385</v>
      </c>
      <c r="B4244" s="1" t="str">
        <f ca="1">IFERROR(__xludf.DUMMYFUNCTION("GOOGLETRANSLATE(A4244, ""en"", ""fr"")"),"Suspension")</f>
        <v>Suspension</v>
      </c>
      <c r="D4244" s="1" t="s">
        <v>4963</v>
      </c>
    </row>
    <row r="4245" spans="1:142" ht="14.25" customHeight="1" x14ac:dyDescent="0.3">
      <c r="A4245" s="1" t="s">
        <v>4386</v>
      </c>
      <c r="B4245" s="1" t="str">
        <f ca="1">IFERROR(__xludf.DUMMYFUNCTION("GOOGLETRANSLATE(A4245, ""en"", ""fr"")"),"Suspendus")</f>
        <v>Suspendus</v>
      </c>
      <c r="D4245" s="1" t="s">
        <v>4963</v>
      </c>
    </row>
    <row r="4246" spans="1:142" ht="14.25" customHeight="1" x14ac:dyDescent="0.3">
      <c r="A4246" s="1" t="s">
        <v>4387</v>
      </c>
      <c r="B4246" s="1" t="str">
        <f ca="1">IFERROR(__xludf.DUMMYFUNCTION("GOOGLETRANSLATE(A4246, ""en"", ""fr"")"),"SUSPENSION")</f>
        <v>SUSPENSION</v>
      </c>
      <c r="D4246" s="1" t="s">
        <v>4963</v>
      </c>
    </row>
    <row r="4247" spans="1:142" ht="14.25" customHeight="1" x14ac:dyDescent="0.3">
      <c r="A4247" s="1" t="s">
        <v>4388</v>
      </c>
      <c r="B4247" s="1" t="str">
        <f ca="1">IFERROR(__xludf.DUMMYFUNCTION("GOOGLETRANSLATE(A4247, ""en"", ""fr"")"),"Suspension")</f>
        <v>Suspension</v>
      </c>
      <c r="D4247" s="1" t="s">
        <v>4963</v>
      </c>
    </row>
    <row r="4248" spans="1:142" ht="14.25" customHeight="1" x14ac:dyDescent="0.3">
      <c r="A4248" s="1" t="s">
        <v>4389</v>
      </c>
      <c r="B4248" s="1" t="str">
        <f ca="1">IFERROR(__xludf.DUMMYFUNCTION("GOOGLETRANSLATE(A4248, ""en"", ""fr"")"),"SOUPÇON")</f>
        <v>SOUPÇON</v>
      </c>
      <c r="D4248" s="1" t="s">
        <v>4963</v>
      </c>
    </row>
    <row r="4249" spans="1:142" ht="14.25" customHeight="1" x14ac:dyDescent="0.3">
      <c r="A4249" s="1" t="s">
        <v>4390</v>
      </c>
      <c r="B4249" s="1" t="str">
        <f ca="1">IFERROR(__xludf.DUMMYFUNCTION("GOOGLETRANSLATE(A4249, ""en"", ""fr"")"),"Soupçons")</f>
        <v>Soupçons</v>
      </c>
      <c r="D4249" s="1" t="s">
        <v>4963</v>
      </c>
    </row>
    <row r="4250" spans="1:142" ht="14.25" customHeight="1" x14ac:dyDescent="0.3">
      <c r="A4250" s="1" t="s">
        <v>4391</v>
      </c>
      <c r="B4250" s="1" t="str">
        <f ca="1">IFERROR(__xludf.DUMMYFUNCTION("GOOGLETRANSLATE(A4250, ""en"", ""fr"")"),"SUSPECT")</f>
        <v>SUSPECT</v>
      </c>
      <c r="D4250" s="1" t="s">
        <v>4963</v>
      </c>
    </row>
    <row r="4251" spans="1:142" ht="14.25" customHeight="1" x14ac:dyDescent="0.3">
      <c r="A4251" s="1" t="s">
        <v>4392</v>
      </c>
      <c r="B4251" s="1" t="str">
        <f ca="1">IFERROR(__xludf.DUMMYFUNCTION("GOOGLETRANSLATE(A4251, ""en"", ""fr"")"),"SOUPÇONNEUSEMENT")</f>
        <v>SOUPÇONNEUSEMENT</v>
      </c>
      <c r="D4251" s="1" t="s">
        <v>4963</v>
      </c>
    </row>
    <row r="4252" spans="1:142" ht="14.25" customHeight="1" x14ac:dyDescent="0.3">
      <c r="A4252" s="1" t="s">
        <v>4393</v>
      </c>
      <c r="B4252" s="1" t="str">
        <f ca="1">IFERROR(__xludf.DUMMYFUNCTION("GOOGLETRANSLATE(A4252, ""en"", ""fr"")"),"Sutorminskoye")</f>
        <v>Sutorminskoye</v>
      </c>
      <c r="AK4252" s="1" t="s">
        <v>34</v>
      </c>
      <c r="BH4252" s="1" t="s">
        <v>57</v>
      </c>
      <c r="BW4252" s="1" t="s">
        <v>72</v>
      </c>
      <c r="DD4252" s="1" t="s">
        <v>105</v>
      </c>
    </row>
    <row r="4253" spans="1:142" ht="14.25" customHeight="1" x14ac:dyDescent="0.3">
      <c r="A4253" s="1" t="s">
        <v>4394</v>
      </c>
      <c r="B4253" s="1" t="str">
        <f ca="1">IFERROR(__xludf.DUMMYFUNCTION("GOOGLETRANSLATE(A4253, ""en"", ""fr"")"),"taux d'échange")</f>
        <v>taux d'échange</v>
      </c>
      <c r="M4253" s="1" t="s">
        <v>10</v>
      </c>
    </row>
    <row r="4254" spans="1:142" ht="14.25" customHeight="1" x14ac:dyDescent="0.3">
      <c r="A4254" s="1" t="s">
        <v>4395</v>
      </c>
      <c r="B4254" s="1" t="str">
        <f ca="1">IFERROR(__xludf.DUMMYFUNCTION("GOOGLETRANSLATE(A4254, ""en"", ""fr"")"),"pétrole brut doux")</f>
        <v>pétrole brut doux</v>
      </c>
      <c r="M4254" s="1" t="s">
        <v>10</v>
      </c>
      <c r="CS4254" s="1" t="s">
        <v>94</v>
      </c>
      <c r="EL4254" s="1" t="s">
        <v>139</v>
      </c>
    </row>
    <row r="4255" spans="1:142" ht="14.25" customHeight="1" x14ac:dyDescent="0.3">
      <c r="A4255" s="1" t="s">
        <v>4396</v>
      </c>
      <c r="B4255" s="1" t="str">
        <f ca="1">IFERROR(__xludf.DUMMYFUNCTION("GOOGLETRANSLATE(A4255, ""en"", ""fr"")"),"brut léger doux")</f>
        <v>brut léger doux</v>
      </c>
      <c r="R4255" s="1" t="s">
        <v>15</v>
      </c>
      <c r="CV4255" s="1" t="s">
        <v>97</v>
      </c>
      <c r="ED4255" s="1" t="s">
        <v>131</v>
      </c>
    </row>
    <row r="4256" spans="1:142" ht="14.25" customHeight="1" x14ac:dyDescent="0.3">
      <c r="A4256" s="1" t="s">
        <v>4397</v>
      </c>
      <c r="B4256" s="1" t="str">
        <f ca="1">IFERROR(__xludf.DUMMYFUNCTION("GOOGLETRANSLATE(A4256, ""en"", ""fr"")"),"Gaz naturel sucré")</f>
        <v>Gaz naturel sucré</v>
      </c>
      <c r="EL4256" s="1" t="s">
        <v>139</v>
      </c>
    </row>
    <row r="4257" spans="1:142" ht="14.25" customHeight="1" x14ac:dyDescent="0.3">
      <c r="A4257" s="1" t="s">
        <v>4398</v>
      </c>
      <c r="B4257" s="1" t="str">
        <f ca="1">IFERROR(__xludf.DUMMYFUNCTION("GOOGLETRANSLATE(A4257, ""en"", ""fr"")"),"syd")</f>
        <v>syd</v>
      </c>
      <c r="CR4257" s="1" t="s">
        <v>93</v>
      </c>
    </row>
    <row r="4258" spans="1:142" ht="14.25" customHeight="1" x14ac:dyDescent="0.3">
      <c r="A4258" s="1" t="s">
        <v>4399</v>
      </c>
      <c r="B4258" s="1" t="str">
        <f ca="1">IFERROR(__xludf.DUMMYFUNCTION("GOOGLETRANSLATE(A4258, ""en"", ""fr"")"),"Syncrude Sweet Blend")</f>
        <v>Syncrude Sweet Blend</v>
      </c>
      <c r="R4258" s="1" t="s">
        <v>15</v>
      </c>
      <c r="CS4258" s="1" t="s">
        <v>94</v>
      </c>
    </row>
    <row r="4259" spans="1:142" ht="14.25" customHeight="1" x14ac:dyDescent="0.3">
      <c r="A4259" s="1" t="s">
        <v>4400</v>
      </c>
      <c r="B4259" s="1" t="str">
        <f ca="1">IFERROR(__xludf.DUMMYFUNCTION("GOOGLETRANSLATE(A4259, ""en"", ""fr"")"),"Huile brute synthétique")</f>
        <v>Huile brute synthétique</v>
      </c>
      <c r="EL4259" s="1" t="s">
        <v>139</v>
      </c>
    </row>
    <row r="4260" spans="1:142" ht="14.25" customHeight="1" x14ac:dyDescent="0.3">
      <c r="A4260" s="1" t="s">
        <v>4401</v>
      </c>
      <c r="B4260" s="1" t="str">
        <f ca="1">IFERROR(__xludf.DUMMYFUNCTION("GOOGLETRANSLATE(A4260, ""en"", ""fr"")"),"Lumière syrienne")</f>
        <v>Lumière syrienne</v>
      </c>
      <c r="R4260" s="1" t="s">
        <v>15</v>
      </c>
      <c r="CS4260" s="1" t="s">
        <v>94</v>
      </c>
    </row>
    <row r="4261" spans="1:142" ht="14.25" customHeight="1" x14ac:dyDescent="0.3">
      <c r="A4261" s="1" t="s">
        <v>4402</v>
      </c>
      <c r="B4261" s="1" t="str">
        <f ca="1">IFERROR(__xludf.DUMMYFUNCTION("GOOGLETRANSLATE(A4261, ""en"", ""fr"")"),"Risque systémique")</f>
        <v>Risque systémique</v>
      </c>
      <c r="M4261" s="1" t="s">
        <v>10</v>
      </c>
    </row>
    <row r="4262" spans="1:142" ht="14.25" customHeight="1" x14ac:dyDescent="0.3">
      <c r="A4262" s="1" t="s">
        <v>4403</v>
      </c>
      <c r="B4262" s="1" t="str">
        <f ca="1">IFERROR(__xludf.DUMMYFUNCTION("GOOGLETRANSLATE(A4262, ""en"", ""fr"")"),"Tahe")</f>
        <v>Tahe</v>
      </c>
      <c r="BW4262" s="1" t="s">
        <v>72</v>
      </c>
      <c r="DD4262" s="1" t="s">
        <v>105</v>
      </c>
      <c r="DH4262" s="1" t="s">
        <v>109</v>
      </c>
    </row>
    <row r="4263" spans="1:142" ht="14.25" customHeight="1" x14ac:dyDescent="0.3">
      <c r="A4263" s="1" t="s">
        <v>4404</v>
      </c>
      <c r="B4263" s="1" t="str">
        <f ca="1">IFERROR(__xludf.DUMMYFUNCTION("GOOGLETRANSLATE(A4263, ""en"", ""fr"")"),"ENTACHER")</f>
        <v>ENTACHER</v>
      </c>
      <c r="D4263" s="1" t="s">
        <v>4963</v>
      </c>
    </row>
    <row r="4264" spans="1:142" ht="14.25" customHeight="1" x14ac:dyDescent="0.3">
      <c r="A4264" s="1" t="s">
        <v>4405</v>
      </c>
      <c r="B4264" s="1" t="str">
        <f ca="1">IFERROR(__xludf.DUMMYFUNCTION("GOOGLETRANSLATE(A4264, ""en"", ""fr"")"),"ENTACHÉ")</f>
        <v>ENTACHÉ</v>
      </c>
      <c r="D4264" s="1" t="s">
        <v>4963</v>
      </c>
    </row>
    <row r="4265" spans="1:142" ht="14.25" customHeight="1" x14ac:dyDescent="0.3">
      <c r="A4265" s="1" t="s">
        <v>4406</v>
      </c>
      <c r="B4265" s="1" t="str">
        <f ca="1">IFERROR(__xludf.DUMMYFUNCTION("GOOGLETRANSLATE(A4265, ""en"", ""fr"")"),"Enthousiasme")</f>
        <v>Enthousiasme</v>
      </c>
      <c r="D4265" s="1" t="s">
        <v>4963</v>
      </c>
    </row>
    <row r="4266" spans="1:142" ht="14.25" customHeight="1" x14ac:dyDescent="0.3">
      <c r="A4266" s="1" t="s">
        <v>4407</v>
      </c>
      <c r="B4266" s="1" t="str">
        <f ca="1">IFERROR(__xludf.DUMMYFUNCTION("GOOGLETRANSLATE(A4266, ""en"", ""fr"")"),"Frissonner")</f>
        <v>Frissonner</v>
      </c>
      <c r="D4266" s="1" t="s">
        <v>4963</v>
      </c>
    </row>
    <row r="4267" spans="1:142" ht="14.25" customHeight="1" x14ac:dyDescent="0.3">
      <c r="A4267" s="1" t="s">
        <v>4408</v>
      </c>
      <c r="B4267" s="1" t="str">
        <f ca="1">IFERROR(__xludf.DUMMYFUNCTION("GOOGLETRANSLATE(A4267, ""en"", ""fr"")"),"Taïwan")</f>
        <v>Taïwan</v>
      </c>
      <c r="BU4267" s="1" t="s">
        <v>70</v>
      </c>
    </row>
    <row r="4268" spans="1:142" ht="14.25" customHeight="1" x14ac:dyDescent="0.3">
      <c r="A4268" s="1" t="s">
        <v>4409</v>
      </c>
      <c r="B4268" s="1" t="str">
        <f ca="1">IFERROR(__xludf.DUMMYFUNCTION("GOOGLETRANSLATE(A4268, ""en"", ""fr"")"),"prendre")</f>
        <v>prendre</v>
      </c>
      <c r="J4268" s="1" t="s">
        <v>7</v>
      </c>
    </row>
    <row r="4269" spans="1:142" ht="14.25" customHeight="1" x14ac:dyDescent="0.3">
      <c r="A4269" s="1" t="s">
        <v>4410</v>
      </c>
      <c r="B4269" s="1" t="str">
        <f ca="1">IFERROR(__xludf.DUMMYFUNCTION("GOOGLETRANSLATE(A4269, ""en"", ""fr"")"),"talakan")</f>
        <v>talakan</v>
      </c>
      <c r="AK4269" s="1" t="s">
        <v>34</v>
      </c>
      <c r="BH4269" s="1" t="s">
        <v>57</v>
      </c>
      <c r="BW4269" s="1" t="s">
        <v>72</v>
      </c>
      <c r="DD4269" s="1" t="s">
        <v>105</v>
      </c>
    </row>
    <row r="4270" spans="1:142" ht="14.25" customHeight="1" x14ac:dyDescent="0.3">
      <c r="A4270" s="1" t="s">
        <v>4411</v>
      </c>
      <c r="B4270" s="1" t="str">
        <f ca="1">IFERROR(__xludf.DUMMYFUNCTION("GOOGLETRANSLATE(A4270, ""en"", ""fr"")"),"Falsifié")</f>
        <v>Falsifié</v>
      </c>
      <c r="D4270" s="1" t="s">
        <v>4963</v>
      </c>
    </row>
    <row r="4271" spans="1:142" ht="14.25" customHeight="1" x14ac:dyDescent="0.3">
      <c r="A4271" s="1" t="s">
        <v>4412</v>
      </c>
      <c r="B4271" s="1" t="str">
        <f ca="1">IFERROR(__xludf.DUMMYFUNCTION("GOOGLETRANSLATE(A4271, ""en"", ""fr"")"),"actif tangible")</f>
        <v>actif tangible</v>
      </c>
      <c r="CR4271" s="1" t="s">
        <v>93</v>
      </c>
    </row>
    <row r="4272" spans="1:142" ht="14.25" customHeight="1" x14ac:dyDescent="0.3">
      <c r="A4272" s="1" t="s">
        <v>4413</v>
      </c>
      <c r="B4272" s="1" t="str">
        <f ca="1">IFERROR(__xludf.DUMMYFUNCTION("GOOGLETRANSLATE(A4272, ""en"", ""fr"")"),"équité tangible")</f>
        <v>équité tangible</v>
      </c>
      <c r="CR4272" s="1" t="s">
        <v>93</v>
      </c>
    </row>
    <row r="4273" spans="1:142" ht="14.25" customHeight="1" x14ac:dyDescent="0.3">
      <c r="A4273" s="1" t="s">
        <v>4414</v>
      </c>
      <c r="B4273" s="1" t="str">
        <f ca="1">IFERROR(__xludf.DUMMYFUNCTION("GOOGLETRANSLATE(A4273, ""en"", ""fr"")"),"Tapis Blend")</f>
        <v>Tapis Blend</v>
      </c>
      <c r="R4273" s="1" t="s">
        <v>15</v>
      </c>
      <c r="CS4273" s="1" t="s">
        <v>94</v>
      </c>
    </row>
    <row r="4274" spans="1:142" ht="14.25" customHeight="1" x14ac:dyDescent="0.3">
      <c r="A4274" s="1" t="s">
        <v>4415</v>
      </c>
      <c r="B4274" s="1" t="str">
        <f ca="1">IFERROR(__xludf.DUMMYFUNCTION("GOOGLETRANSLATE(A4274, ""en"", ""fr"")"),"sable de goudron")</f>
        <v>sable de goudron</v>
      </c>
      <c r="M4274" s="1" t="s">
        <v>10</v>
      </c>
      <c r="CS4274" s="1" t="s">
        <v>94</v>
      </c>
      <c r="EL4274" s="1" t="s">
        <v>139</v>
      </c>
    </row>
    <row r="4275" spans="1:142" ht="14.25" customHeight="1" x14ac:dyDescent="0.3">
      <c r="A4275" s="1" t="s">
        <v>4416</v>
      </c>
      <c r="B4275" s="1" t="str">
        <f ca="1">IFERROR(__xludf.DUMMYFUNCTION("GOOGLETRANSLATE(A4275, ""en"", ""fr"")"),"impôt")</f>
        <v>impôt</v>
      </c>
      <c r="CR4275" s="1" t="s">
        <v>93</v>
      </c>
    </row>
    <row r="4276" spans="1:142" ht="14.25" customHeight="1" x14ac:dyDescent="0.3">
      <c r="A4276" s="1" t="s">
        <v>4417</v>
      </c>
      <c r="B4276" s="1" t="str">
        <f ca="1">IFERROR(__xludf.DUMMYFUNCTION("GOOGLETRANSLATE(A4276, ""en"", ""fr"")"),"remboursement de la taxe")</f>
        <v>remboursement de la taxe</v>
      </c>
      <c r="M4276" s="1" t="s">
        <v>10</v>
      </c>
    </row>
    <row r="4277" spans="1:142" ht="14.25" customHeight="1" x14ac:dyDescent="0.3">
      <c r="A4277" s="1" t="s">
        <v>4418</v>
      </c>
      <c r="B4277" s="1" t="str">
        <f ca="1">IFERROR(__xludf.DUMMYFUNCTION("GOOGLETRANSLATE(A4277, ""en"", ""fr"")"),"taxes")</f>
        <v>taxes</v>
      </c>
      <c r="CR4277" s="1" t="s">
        <v>93</v>
      </c>
    </row>
    <row r="4278" spans="1:142" ht="14.25" customHeight="1" x14ac:dyDescent="0.3">
      <c r="A4278" s="1" t="s">
        <v>4419</v>
      </c>
      <c r="B4278" s="1" t="str">
        <f ca="1">IFERROR(__xludf.DUMMYFUNCTION("GOOGLETRANSLATE(A4278, ""en"", ""fr"")"),"Règle de Taylor")</f>
        <v>Règle de Taylor</v>
      </c>
      <c r="M4278" s="1" t="s">
        <v>10</v>
      </c>
    </row>
    <row r="4279" spans="1:142" ht="14.25" customHeight="1" x14ac:dyDescent="0.3">
      <c r="A4279" s="1" t="s">
        <v>4420</v>
      </c>
      <c r="B4279" s="1" t="str">
        <f ca="1">IFERROR(__xludf.DUMMYFUNCTION("GOOGLETRANSLATE(A4279, ""en"", ""fr"")"),"tbn")</f>
        <v>tbn</v>
      </c>
      <c r="CS4279" s="1" t="s">
        <v>94</v>
      </c>
    </row>
    <row r="4280" spans="1:142" ht="14.25" customHeight="1" x14ac:dyDescent="0.3">
      <c r="A4280" s="1" t="s">
        <v>4421</v>
      </c>
      <c r="B4280" s="1" t="str">
        <f ca="1">IFERROR(__xludf.DUMMYFUNCTION("GOOGLETRANSLATE(A4280, ""en"", ""fr"")"),"bulle technologique")</f>
        <v>bulle technologique</v>
      </c>
      <c r="M4280" s="1" t="s">
        <v>10</v>
      </c>
    </row>
    <row r="4281" spans="1:142" ht="14.25" customHeight="1" x14ac:dyDescent="0.3">
      <c r="A4281" s="1" t="s">
        <v>4422</v>
      </c>
      <c r="B4281" s="1" t="str">
        <f ca="1">IFERROR(__xludf.DUMMYFUNCTION("GOOGLETRANSLATE(A4281, ""en"", ""fr"")"),"raffinerie d'huile de Téhéran")</f>
        <v>raffinerie d'huile de Téhéran</v>
      </c>
      <c r="BF4281" s="1" t="s">
        <v>55</v>
      </c>
      <c r="BT4281" s="1" t="s">
        <v>69</v>
      </c>
      <c r="CA4281" s="1" t="s">
        <v>76</v>
      </c>
      <c r="CL4281" s="1" t="s">
        <v>87</v>
      </c>
      <c r="DJ4281" s="1" t="s">
        <v>111</v>
      </c>
    </row>
    <row r="4282" spans="1:142" ht="14.25" customHeight="1" x14ac:dyDescent="0.3">
      <c r="A4282" s="1" t="s">
        <v>4423</v>
      </c>
      <c r="B4282" s="1" t="str">
        <f ca="1">IFERROR(__xludf.DUMMYFUNCTION("GOOGLETRANSLATE(A4282, ""en"", ""fr"")"),"Tempa Rossa")</f>
        <v>Tempa Rossa</v>
      </c>
      <c r="R4282" s="1" t="s">
        <v>15</v>
      </c>
      <c r="CS4282" s="1" t="s">
        <v>94</v>
      </c>
    </row>
    <row r="4283" spans="1:142" ht="14.25" customHeight="1" x14ac:dyDescent="0.3">
      <c r="A4283" s="1" t="s">
        <v>4424</v>
      </c>
      <c r="B4283" s="1" t="str">
        <f ca="1">IFERROR(__xludf.DUMMYFUNCTION("GOOGLETRANSLATE(A4283, ""en"", ""fr"")"),"Tengiz")</f>
        <v>Tengiz</v>
      </c>
      <c r="AK4283" s="1" t="s">
        <v>34</v>
      </c>
      <c r="CB4283" s="1" t="s">
        <v>77</v>
      </c>
      <c r="DD4283" s="1" t="s">
        <v>105</v>
      </c>
    </row>
    <row r="4284" spans="1:142" ht="14.25" customHeight="1" x14ac:dyDescent="0.3">
      <c r="A4284" s="1" t="s">
        <v>4425</v>
      </c>
      <c r="B4284" s="1" t="str">
        <f ca="1">IFERROR(__xludf.DUMMYFUNCTION("GOOGLETRANSLATE(A4284, ""en"", ""fr"")"),"TENDU")</f>
        <v>TENDU</v>
      </c>
      <c r="D4284" s="1" t="s">
        <v>4963</v>
      </c>
    </row>
    <row r="4285" spans="1:142" ht="14.25" customHeight="1" x14ac:dyDescent="0.3">
      <c r="A4285" s="1" t="s">
        <v>4426</v>
      </c>
      <c r="B4285" s="1" t="str">
        <f ca="1">IFERROR(__xludf.DUMMYFUNCTION("GOOGLETRANSLATE(A4285, ""en"", ""fr"")"),"Plate-forme de jambe de tension")</f>
        <v>Plate-forme de jambe de tension</v>
      </c>
      <c r="E4285" s="1" t="s">
        <v>3</v>
      </c>
    </row>
    <row r="4286" spans="1:142" ht="14.25" customHeight="1" x14ac:dyDescent="0.3">
      <c r="A4286" s="1" t="s">
        <v>4427</v>
      </c>
      <c r="B4286" s="1" t="str">
        <f ca="1">IFERROR(__xludf.DUMMYFUNCTION("GOOGLETRANSLATE(A4286, ""en"", ""fr"")"),"effet de tequila")</f>
        <v>effet de tequila</v>
      </c>
      <c r="M4286" s="1" t="s">
        <v>10</v>
      </c>
    </row>
    <row r="4287" spans="1:142" ht="14.25" customHeight="1" x14ac:dyDescent="0.3">
      <c r="A4287" s="1" t="s">
        <v>4428</v>
      </c>
      <c r="B4287" s="1" t="str">
        <f ca="1">IFERROR(__xludf.DUMMYFUNCTION("GOOGLETRANSLATE(A4287, ""en"", ""fr"")"),"terme")</f>
        <v>terme</v>
      </c>
      <c r="CR4287" s="1" t="s">
        <v>93</v>
      </c>
    </row>
    <row r="4288" spans="1:142" ht="14.25" customHeight="1" x14ac:dyDescent="0.3">
      <c r="A4288" s="1" t="s">
        <v>4429</v>
      </c>
      <c r="B4288" s="1" t="str">
        <f ca="1">IFERROR(__xludf.DUMMYFUNCTION("GOOGLETRANSLATE(A4288, ""en"", ""fr"")"),"Facilité de prêt en valeurs mobilières adossé à des actifs à terme")</f>
        <v>Facilité de prêt en valeurs mobilières adossé à des actifs à terme</v>
      </c>
      <c r="M4288" s="1" t="s">
        <v>10</v>
      </c>
    </row>
    <row r="4289" spans="1:130" ht="14.25" customHeight="1" x14ac:dyDescent="0.3">
      <c r="A4289" s="1" t="s">
        <v>4430</v>
      </c>
      <c r="B4289" s="1" t="str">
        <f ca="1">IFERROR(__xludf.DUMMYFUNCTION("GOOGLETRANSLATE(A4289, ""en"", ""fr"")"),"Installation d'enchères à terme")</f>
        <v>Installation d'enchères à terme</v>
      </c>
      <c r="M4289" s="1" t="s">
        <v>10</v>
      </c>
    </row>
    <row r="4290" spans="1:130" ht="14.25" customHeight="1" x14ac:dyDescent="0.3">
      <c r="A4290" s="1" t="s">
        <v>4431</v>
      </c>
      <c r="B4290" s="1" t="str">
        <f ca="1">IFERROR(__xludf.DUMMYFUNCTION("GOOGLETRANSLATE(A4290, ""en"", ""fr"")"),"Installation de prêt de titres à terme")</f>
        <v>Installation de prêt de titres à terme</v>
      </c>
      <c r="M4290" s="1" t="s">
        <v>10</v>
      </c>
    </row>
    <row r="4291" spans="1:130" ht="14.25" customHeight="1" x14ac:dyDescent="0.3">
      <c r="A4291" s="1" t="s">
        <v>4432</v>
      </c>
      <c r="B4291" s="1" t="str">
        <f ca="1">IFERROR(__xludf.DUMMYFUNCTION("GOOGLETRANSLATE(A4291, ""en"", ""fr"")"),"Terminal")</f>
        <v>Terminal</v>
      </c>
      <c r="E4291" s="1" t="s">
        <v>3</v>
      </c>
    </row>
    <row r="4292" spans="1:130" ht="14.25" customHeight="1" x14ac:dyDescent="0.3">
      <c r="A4292" s="1" t="s">
        <v>4433</v>
      </c>
      <c r="B4292" s="1" t="str">
        <f ca="1">IFERROR(__xludf.DUMMYFUNCTION("GOOGLETRANSLATE(A4292, ""en"", ""fr"")"),"METTRE FIN")</f>
        <v>METTRE FIN</v>
      </c>
      <c r="D4292" s="1" t="s">
        <v>4963</v>
      </c>
    </row>
    <row r="4293" spans="1:130" ht="14.25" customHeight="1" x14ac:dyDescent="0.3">
      <c r="A4293" s="1" t="s">
        <v>4434</v>
      </c>
      <c r="B4293" s="1" t="str">
        <f ca="1">IFERROR(__xludf.DUMMYFUNCTION("GOOGLETRANSLATE(A4293, ""en"", ""fr"")"),"Terminé")</f>
        <v>Terminé</v>
      </c>
      <c r="D4293" s="1" t="s">
        <v>4963</v>
      </c>
    </row>
    <row r="4294" spans="1:130" ht="14.25" customHeight="1" x14ac:dyDescent="0.3">
      <c r="A4294" s="1" t="s">
        <v>4435</v>
      </c>
      <c r="B4294" s="1" t="str">
        <f ca="1">IFERROR(__xludf.DUMMYFUNCTION("GOOGLETRANSLATE(A4294, ""en"", ""fr"")"),"Terminer")</f>
        <v>Terminer</v>
      </c>
      <c r="D4294" s="1" t="s">
        <v>4963</v>
      </c>
    </row>
    <row r="4295" spans="1:130" ht="14.25" customHeight="1" x14ac:dyDescent="0.3">
      <c r="A4295" s="1" t="s">
        <v>4436</v>
      </c>
      <c r="B4295" s="1" t="str">
        <f ca="1">IFERROR(__xludf.DUMMYFUNCTION("GOOGLETRANSLATE(A4295, ""en"", ""fr"")"),"Terminaison")</f>
        <v>Terminaison</v>
      </c>
      <c r="D4295" s="1" t="s">
        <v>4963</v>
      </c>
    </row>
    <row r="4296" spans="1:130" ht="14.25" customHeight="1" x14ac:dyDescent="0.3">
      <c r="A4296" s="1" t="s">
        <v>4437</v>
      </c>
      <c r="B4296" s="1" t="str">
        <f ca="1">IFERROR(__xludf.DUMMYFUNCTION("GOOGLETRANSLATE(A4296, ""en"", ""fr"")"),"RÉSILIATION")</f>
        <v>RÉSILIATION</v>
      </c>
      <c r="D4296" s="1" t="s">
        <v>4963</v>
      </c>
    </row>
    <row r="4297" spans="1:130" ht="14.25" customHeight="1" x14ac:dyDescent="0.3">
      <c r="A4297" s="1" t="s">
        <v>4438</v>
      </c>
      <c r="B4297" s="1" t="str">
        <f ca="1">IFERROR(__xludf.DUMMYFUNCTION("GOOGLETRANSLATE(A4297, ""en"", ""fr"")"),"Terminaison")</f>
        <v>Terminaison</v>
      </c>
      <c r="D4297" s="1" t="s">
        <v>4963</v>
      </c>
    </row>
    <row r="4298" spans="1:130" ht="14.25" customHeight="1" x14ac:dyDescent="0.3">
      <c r="A4298" s="1" t="s">
        <v>4439</v>
      </c>
      <c r="B4298" s="1" t="str">
        <f ca="1">IFERROR(__xludf.DUMMYFUNCTION("GOOGLETRANSLATE(A4298, ""en"", ""fr"")"),"Terra Nova")</f>
        <v>Terra Nova</v>
      </c>
      <c r="CC4298" s="1" t="s">
        <v>78</v>
      </c>
      <c r="DD4298" s="1" t="s">
        <v>105</v>
      </c>
      <c r="DF4298" s="1" t="s">
        <v>107</v>
      </c>
    </row>
    <row r="4299" spans="1:130" ht="14.25" customHeight="1" x14ac:dyDescent="0.3">
      <c r="A4299" s="1" t="s">
        <v>4440</v>
      </c>
      <c r="B4299" s="1" t="str">
        <f ca="1">IFERROR(__xludf.DUMMYFUNCTION("GOOGLETRANSLATE(A4299, ""en"", ""fr"")"),"Reprise tertiaire")</f>
        <v>Reprise tertiaire</v>
      </c>
      <c r="E4299" s="1" t="s">
        <v>3</v>
      </c>
    </row>
    <row r="4300" spans="1:130" ht="14.25" customHeight="1" x14ac:dyDescent="0.3">
      <c r="A4300" s="1" t="s">
        <v>4441</v>
      </c>
      <c r="B4300" s="1" t="str">
        <f ca="1">IFERROR(__xludf.DUMMYFUNCTION("GOOGLETRANSLATE(A4300, ""en"", ""fr"")"),"TÉMOIGNER")</f>
        <v>TÉMOIGNER</v>
      </c>
      <c r="D4300" s="1" t="s">
        <v>4963</v>
      </c>
    </row>
    <row r="4301" spans="1:130" ht="14.25" customHeight="1" x14ac:dyDescent="0.3">
      <c r="A4301" s="1" t="s">
        <v>4442</v>
      </c>
      <c r="B4301" s="1" t="str">
        <f ca="1">IFERROR(__xludf.DUMMYFUNCTION("GOOGLETRANSLATE(A4301, ""en"", ""fr"")"),"Témoignage")</f>
        <v>Témoignage</v>
      </c>
      <c r="D4301" s="1" t="s">
        <v>4963</v>
      </c>
    </row>
    <row r="4302" spans="1:130" ht="14.25" customHeight="1" x14ac:dyDescent="0.3">
      <c r="A4302" s="1" t="s">
        <v>4443</v>
      </c>
      <c r="B4302" s="1" t="str">
        <f ca="1">IFERROR(__xludf.DUMMYFUNCTION("GOOGLETRANSLATE(A4302, ""en"", ""fr"")"),"Essai")</f>
        <v>Essai</v>
      </c>
      <c r="AY4302" s="1" t="s">
        <v>48</v>
      </c>
    </row>
    <row r="4303" spans="1:130" ht="14.25" customHeight="1" x14ac:dyDescent="0.3">
      <c r="A4303" s="1" t="s">
        <v>4444</v>
      </c>
      <c r="B4303" s="1" t="str">
        <f ca="1">IFERROR(__xludf.DUMMYFUNCTION("GOOGLETRANSLATE(A4303, ""en"", ""fr"")"),"tevlinsko-russkinskoye")</f>
        <v>tevlinsko-russkinskoye</v>
      </c>
      <c r="AK4303" s="1" t="s">
        <v>34</v>
      </c>
      <c r="BH4303" s="1" t="s">
        <v>57</v>
      </c>
      <c r="BW4303" s="1" t="s">
        <v>72</v>
      </c>
      <c r="DD4303" s="1" t="s">
        <v>105</v>
      </c>
    </row>
    <row r="4304" spans="1:130" ht="14.25" customHeight="1" x14ac:dyDescent="0.3">
      <c r="A4304" s="1" t="s">
        <v>4445</v>
      </c>
      <c r="B4304" s="1" t="str">
        <f ca="1">IFERROR(__xludf.DUMMYFUNCTION("GOOGLETRANSLATE(A4304, ""en"", ""fr"")"),"texaco")</f>
        <v>texaco</v>
      </c>
      <c r="BI4304" s="1" t="s">
        <v>58</v>
      </c>
      <c r="DT4304" s="1" t="s">
        <v>121</v>
      </c>
      <c r="DZ4304" s="1" t="s">
        <v>127</v>
      </c>
    </row>
    <row r="4305" spans="1:97" ht="14.25" customHeight="1" x14ac:dyDescent="0.3">
      <c r="A4305" s="1" t="s">
        <v>4446</v>
      </c>
      <c r="B4305" s="1" t="str">
        <f ca="1">IFERROR(__xludf.DUMMYFUNCTION("GOOGLETRANSLATE(A4305, ""en"", ""fr"")"),"Condensat Thamama")</f>
        <v>Condensat Thamama</v>
      </c>
      <c r="R4305" s="1" t="s">
        <v>15</v>
      </c>
      <c r="CS4305" s="1" t="s">
        <v>94</v>
      </c>
    </row>
    <row r="4306" spans="1:97" ht="14.25" customHeight="1" x14ac:dyDescent="0.3">
      <c r="A4306" s="1" t="s">
        <v>4447</v>
      </c>
      <c r="B4306" s="1" t="str">
        <f ca="1">IFERROR(__xludf.DUMMYFUNCTION("GOOGLETRANSLATE(A4306, ""en"", ""fr"")"),"que")</f>
        <v>que</v>
      </c>
      <c r="J4306" s="1" t="s">
        <v>7</v>
      </c>
    </row>
    <row r="4307" spans="1:97" ht="14.25" customHeight="1" x14ac:dyDescent="0.3">
      <c r="A4307" s="1" t="s">
        <v>4448</v>
      </c>
      <c r="B4307" s="1" t="str">
        <f ca="1">IFERROR(__xludf.DUMMYFUNCTION("GOOGLETRANSLATE(A4307, ""en"", ""fr"")"),"que")</f>
        <v>que</v>
      </c>
      <c r="J4307" s="1" t="s">
        <v>7</v>
      </c>
    </row>
    <row r="4308" spans="1:97" ht="14.25" customHeight="1" x14ac:dyDescent="0.3">
      <c r="A4308" s="1" t="s">
        <v>4449</v>
      </c>
      <c r="B4308" s="1" t="str">
        <f ca="1">IFERROR(__xludf.DUMMYFUNCTION("GOOGLETRANSLATE(A4308, ""en"", ""fr"")"),"le")</f>
        <v>le</v>
      </c>
      <c r="J4308" s="1" t="s">
        <v>7</v>
      </c>
    </row>
    <row r="4309" spans="1:97" ht="14.25" customHeight="1" x14ac:dyDescent="0.3">
      <c r="A4309" s="1" t="s">
        <v>4450</v>
      </c>
      <c r="B4309" s="1" t="str">
        <f ca="1">IFERROR(__xludf.DUMMYFUNCTION("GOOGLETRANSLATE(A4309, ""en"", ""fr"")"),"leur")</f>
        <v>leur</v>
      </c>
      <c r="J4309" s="1" t="s">
        <v>7</v>
      </c>
    </row>
    <row r="4310" spans="1:97" ht="14.25" customHeight="1" x14ac:dyDescent="0.3">
      <c r="A4310" s="1" t="s">
        <v>4451</v>
      </c>
      <c r="B4310" s="1" t="str">
        <f ca="1">IFERROR(__xludf.DUMMYFUNCTION("GOOGLETRANSLATE(A4310, ""en"", ""fr"")"),"alors")</f>
        <v>alors</v>
      </c>
      <c r="J4310" s="1" t="s">
        <v>7</v>
      </c>
    </row>
    <row r="4311" spans="1:97" ht="14.25" customHeight="1" x14ac:dyDescent="0.3">
      <c r="A4311" s="1" t="s">
        <v>4452</v>
      </c>
      <c r="B4311" s="1" t="str">
        <f ca="1">IFERROR(__xludf.DUMMYFUNCTION("GOOGLETRANSLATE(A4311, ""en"", ""fr"")"),"là")</f>
        <v>là</v>
      </c>
      <c r="J4311" s="1" t="s">
        <v>7</v>
      </c>
    </row>
    <row r="4312" spans="1:97" ht="14.25" customHeight="1" x14ac:dyDescent="0.3">
      <c r="A4312" s="1" t="s">
        <v>4453</v>
      </c>
      <c r="B4312" s="1" t="str">
        <f ca="1">IFERROR(__xludf.DUMMYFUNCTION("GOOGLETRANSLATE(A4312, ""en"", ""fr"")"),"Récupération thermique")</f>
        <v>Récupération thermique</v>
      </c>
      <c r="E4312" s="1" t="s">
        <v>3</v>
      </c>
    </row>
    <row r="4313" spans="1:97" ht="14.25" customHeight="1" x14ac:dyDescent="0.3">
      <c r="A4313" s="1" t="s">
        <v>4454</v>
      </c>
      <c r="B4313" s="1" t="str">
        <f ca="1">IFERROR(__xludf.DUMMYFUNCTION("GOOGLETRANSLATE(A4313, ""en"", ""fr"")"),"ces")</f>
        <v>ces</v>
      </c>
      <c r="J4313" s="1" t="s">
        <v>7</v>
      </c>
    </row>
    <row r="4314" spans="1:97" ht="14.25" customHeight="1" x14ac:dyDescent="0.3">
      <c r="A4314" s="1" t="s">
        <v>4455</v>
      </c>
      <c r="B4314" s="1" t="str">
        <f ca="1">IFERROR(__xludf.DUMMYFUNCTION("GOOGLETRANSLATE(A4314, ""en"", ""fr"")"),"ils")</f>
        <v>ils</v>
      </c>
      <c r="J4314" s="1" t="s">
        <v>7</v>
      </c>
    </row>
    <row r="4315" spans="1:97" ht="14.25" customHeight="1" x14ac:dyDescent="0.3">
      <c r="A4315" s="1" t="s">
        <v>4456</v>
      </c>
      <c r="B4315" s="1" t="str">
        <f ca="1">IFERROR(__xludf.DUMMYFUNCTION("GOOGLETRANSLATE(A4315, ""en"", ""fr"")"),"ce")</f>
        <v>ce</v>
      </c>
      <c r="J4315" s="1" t="s">
        <v>7</v>
      </c>
    </row>
    <row r="4316" spans="1:97" ht="14.25" customHeight="1" x14ac:dyDescent="0.3">
      <c r="A4316" s="1" t="s">
        <v>4457</v>
      </c>
      <c r="B4316" s="1" t="str">
        <f ca="1">IFERROR(__xludf.DUMMYFUNCTION("GOOGLETRANSLATE(A4316, ""en"", ""fr"")"),"Thomson Financial")</f>
        <v>Thomson Financial</v>
      </c>
      <c r="M4316" s="1" t="s">
        <v>10</v>
      </c>
    </row>
    <row r="4317" spans="1:97" ht="14.25" customHeight="1" x14ac:dyDescent="0.3">
      <c r="A4317" s="1" t="s">
        <v>4458</v>
      </c>
      <c r="B4317" s="1" t="str">
        <f ca="1">IFERROR(__xludf.DUMMYFUNCTION("GOOGLETRANSLATE(A4317, ""en"", ""fr"")"),"ceux")</f>
        <v>ceux</v>
      </c>
      <c r="J4317" s="1" t="s">
        <v>7</v>
      </c>
    </row>
    <row r="4318" spans="1:97" ht="14.25" customHeight="1" x14ac:dyDescent="0.3">
      <c r="A4318" s="1" t="s">
        <v>4459</v>
      </c>
      <c r="B4318" s="1" t="str">
        <f ca="1">IFERROR(__xludf.DUMMYFUNCTION("GOOGLETRANSLATE(A4318, ""en"", ""fr"")"),"MENACE")</f>
        <v>MENACE</v>
      </c>
      <c r="D4318" s="1" t="s">
        <v>4963</v>
      </c>
    </row>
    <row r="4319" spans="1:97" ht="14.25" customHeight="1" x14ac:dyDescent="0.3">
      <c r="A4319" s="1" t="s">
        <v>4460</v>
      </c>
      <c r="B4319" s="1" t="str">
        <f ca="1">IFERROR(__xludf.DUMMYFUNCTION("GOOGLETRANSLATE(A4319, ""en"", ""fr"")"),"MENACER")</f>
        <v>MENACER</v>
      </c>
      <c r="D4319" s="1" t="s">
        <v>4963</v>
      </c>
    </row>
    <row r="4320" spans="1:97" ht="14.25" customHeight="1" x14ac:dyDescent="0.3">
      <c r="A4320" s="1" t="s">
        <v>4461</v>
      </c>
      <c r="B4320" s="1" t="str">
        <f ca="1">IFERROR(__xludf.DUMMYFUNCTION("GOOGLETRANSLATE(A4320, ""en"", ""fr"")"),"Menacé")</f>
        <v>Menacé</v>
      </c>
      <c r="D4320" s="1" t="s">
        <v>4963</v>
      </c>
    </row>
    <row r="4321" spans="1:124" ht="14.25" customHeight="1" x14ac:dyDescent="0.3">
      <c r="A4321" s="1" t="s">
        <v>4462</v>
      </c>
      <c r="B4321" s="1" t="str">
        <f ca="1">IFERROR(__xludf.DUMMYFUNCTION("GOOGLETRANSLATE(A4321, ""en"", ""fr"")"),"MENAÇANT")</f>
        <v>MENAÇANT</v>
      </c>
      <c r="D4321" s="1" t="s">
        <v>4963</v>
      </c>
    </row>
    <row r="4322" spans="1:124" ht="14.25" customHeight="1" x14ac:dyDescent="0.3">
      <c r="A4322" s="1" t="s">
        <v>4463</v>
      </c>
      <c r="B4322" s="1" t="str">
        <f ca="1">IFERROR(__xludf.DUMMYFUNCTION("GOOGLETRANSLATE(A4322, ""en"", ""fr"")"),"Menace")</f>
        <v>Menace</v>
      </c>
      <c r="D4322" s="1" t="s">
        <v>4963</v>
      </c>
    </row>
    <row r="4323" spans="1:124" ht="14.25" customHeight="1" x14ac:dyDescent="0.3">
      <c r="A4323" s="1" t="s">
        <v>4464</v>
      </c>
      <c r="B4323" s="1" t="str">
        <f ca="1">IFERROR(__xludf.DUMMYFUNCTION("GOOGLETRANSLATE(A4323, ""en"", ""fr"")"),"DES MENACES")</f>
        <v>DES MENACES</v>
      </c>
      <c r="D4323" s="1" t="s">
        <v>4963</v>
      </c>
    </row>
    <row r="4324" spans="1:124" ht="14.25" customHeight="1" x14ac:dyDescent="0.3">
      <c r="A4324" s="1" t="s">
        <v>4465</v>
      </c>
      <c r="B4324" s="1" t="str">
        <f ca="1">IFERROR(__xludf.DUMMYFUNCTION("GOOGLETRANSLATE(A4324, ""en"", ""fr"")"),"Sismique tridimensionnel")</f>
        <v>Sismique tridimensionnel</v>
      </c>
      <c r="AY4324" s="1" t="s">
        <v>48</v>
      </c>
    </row>
    <row r="4325" spans="1:124" ht="14.25" customHeight="1" x14ac:dyDescent="0.3">
      <c r="A4325" s="1" t="s">
        <v>4466</v>
      </c>
      <c r="B4325" s="1" t="str">
        <f ca="1">IFERROR(__xludf.DUMMYFUNCTION("GOOGLETRANSLATE(A4325, ""en"", ""fr"")"),"à travers")</f>
        <v>à travers</v>
      </c>
      <c r="J4325" s="1" t="s">
        <v>7</v>
      </c>
    </row>
    <row r="4326" spans="1:124" ht="14.25" customHeight="1" x14ac:dyDescent="0.3">
      <c r="A4326" s="1" t="s">
        <v>4467</v>
      </c>
      <c r="B4326" s="1" t="str">
        <f ca="1">IFERROR(__xludf.DUMMYFUNCTION("GOOGLETRANSLATE(A4326, ""en"", ""fr"")"),"cheval de tonnerre")</f>
        <v>cheval de tonnerre</v>
      </c>
      <c r="DD4326" s="1" t="s">
        <v>105</v>
      </c>
      <c r="DF4326" s="1" t="s">
        <v>107</v>
      </c>
      <c r="DK4326" s="1" t="s">
        <v>112</v>
      </c>
    </row>
    <row r="4327" spans="1:124" ht="14.25" customHeight="1" x14ac:dyDescent="0.3">
      <c r="A4327" s="1" t="s">
        <v>4468</v>
      </c>
      <c r="B4327" s="1" t="str">
        <f ca="1">IFERROR(__xludf.DUMMYFUNCTION("GOOGLETRANSLATE(A4327, ""en"", ""fr"")"),"Tia Juana Heavy")</f>
        <v>Tia Juana Heavy</v>
      </c>
      <c r="R4327" s="1" t="s">
        <v>15</v>
      </c>
      <c r="CS4327" s="1" t="s">
        <v>94</v>
      </c>
    </row>
    <row r="4328" spans="1:124" ht="14.25" customHeight="1" x14ac:dyDescent="0.3">
      <c r="A4328" s="1" t="s">
        <v>4469</v>
      </c>
      <c r="B4328" s="1" t="str">
        <f ca="1">IFERROR(__xludf.DUMMYFUNCTION("GOOGLETRANSLATE(A4328, ""en"", ""fr"")"),"Tia Juana Light")</f>
        <v>Tia Juana Light</v>
      </c>
      <c r="R4328" s="1" t="s">
        <v>15</v>
      </c>
      <c r="CS4328" s="1" t="s">
        <v>94</v>
      </c>
    </row>
    <row r="4329" spans="1:124" ht="14.25" customHeight="1" x14ac:dyDescent="0.3">
      <c r="A4329" s="1" t="s">
        <v>4470</v>
      </c>
      <c r="B4329" s="1" t="str">
        <f ca="1">IFERROR(__xludf.DUMMYFUNCTION("GOOGLETRANSLATE(A4329, ""en"", ""fr"")"),"économie des tigres")</f>
        <v>économie des tigres</v>
      </c>
      <c r="M4329" s="1" t="s">
        <v>10</v>
      </c>
    </row>
    <row r="4330" spans="1:124" ht="14.25" customHeight="1" x14ac:dyDescent="0.3">
      <c r="A4330" s="1" t="s">
        <v>4471</v>
      </c>
      <c r="B4330" s="1" t="str">
        <f ca="1">IFERROR(__xludf.DUMMYFUNCTION("GOOGLETRANSLATE(A4330, ""en"", ""fr"")"),"Trou serré")</f>
        <v>Trou serré</v>
      </c>
      <c r="AY4330" s="1" t="s">
        <v>48</v>
      </c>
    </row>
    <row r="4331" spans="1:124" ht="14.25" customHeight="1" x14ac:dyDescent="0.3">
      <c r="A4331" s="1" t="s">
        <v>4472</v>
      </c>
      <c r="B4331" s="1" t="str">
        <f ca="1">IFERROR(__xludf.DUMMYFUNCTION("GOOGLETRANSLATE(A4331, ""en"", ""fr"")"),"politique monétaire serrée")</f>
        <v>politique monétaire serrée</v>
      </c>
      <c r="M4331" s="1" t="s">
        <v>10</v>
      </c>
    </row>
    <row r="4332" spans="1:124" ht="14.25" customHeight="1" x14ac:dyDescent="0.3">
      <c r="A4332" s="1" t="s">
        <v>4473</v>
      </c>
      <c r="B4332" s="1" t="str">
        <f ca="1">IFERROR(__xludf.DUMMYFUNCTION("GOOGLETRANSLATE(A4332, ""en"", ""fr"")"),"argent serré")</f>
        <v>argent serré</v>
      </c>
      <c r="M4332" s="1" t="s">
        <v>10</v>
      </c>
    </row>
    <row r="4333" spans="1:124" ht="14.25" customHeight="1" x14ac:dyDescent="0.3">
      <c r="A4333" s="1" t="s">
        <v>4474</v>
      </c>
      <c r="B4333" s="1" t="str">
        <f ca="1">IFERROR(__xludf.DUMMYFUNCTION("GOOGLETRANSLATE(A4333, ""en"", ""fr"")"),"CONTRACTION")</f>
        <v>CONTRACTION</v>
      </c>
      <c r="D4333" s="1" t="s">
        <v>4963</v>
      </c>
    </row>
    <row r="4334" spans="1:124" ht="14.25" customHeight="1" x14ac:dyDescent="0.3">
      <c r="A4334" s="1" t="s">
        <v>4475</v>
      </c>
      <c r="B4334" s="1" t="str">
        <f ca="1">IFERROR(__xludf.DUMMYFUNCTION("GOOGLETRANSLATE(A4334, ""en"", ""fr"")"),"Time Spreads")</f>
        <v>Time Spreads</v>
      </c>
      <c r="Q4334" s="1" t="s">
        <v>14</v>
      </c>
    </row>
    <row r="4335" spans="1:124" ht="14.25" customHeight="1" x14ac:dyDescent="0.3">
      <c r="A4335" s="1" t="s">
        <v>4476</v>
      </c>
      <c r="B4335" s="1" t="str">
        <f ca="1">IFERROR(__xludf.DUMMYFUNCTION("GOOGLETRANSLATE(A4335, ""en"", ""fr"")"),"la valeur temporelle de l'argent")</f>
        <v>la valeur temporelle de l'argent</v>
      </c>
      <c r="M4335" s="1" t="s">
        <v>10</v>
      </c>
    </row>
    <row r="4336" spans="1:124" ht="14.25" customHeight="1" x14ac:dyDescent="0.3">
      <c r="A4336" s="1" t="s">
        <v>4477</v>
      </c>
      <c r="B4336" s="1" t="str">
        <f ca="1">IFERROR(__xludf.DUMMYFUNCTION("GOOGLETRANSLATE(A4336, ""en"", ""fr"")"),"tnk-bp")</f>
        <v>tnk-bp</v>
      </c>
      <c r="F4336" s="1" t="s">
        <v>4</v>
      </c>
      <c r="X4336" s="1" t="s">
        <v>21</v>
      </c>
      <c r="Z4336" s="1" t="s">
        <v>23</v>
      </c>
      <c r="BL4336" s="1" t="s">
        <v>61</v>
      </c>
      <c r="DT4336" s="1" t="s">
        <v>121</v>
      </c>
    </row>
    <row r="4337" spans="1:142" ht="14.25" customHeight="1" x14ac:dyDescent="0.3">
      <c r="A4337" s="1" t="s">
        <v>4478</v>
      </c>
      <c r="B4337" s="1" t="str">
        <f ca="1">IFERROR(__xludf.DUMMYFUNCTION("GOOGLETRANSLATE(A4337, ""en"", ""fr"")"),"à")</f>
        <v>à</v>
      </c>
      <c r="J4337" s="1" t="s">
        <v>7</v>
      </c>
    </row>
    <row r="4338" spans="1:142" ht="14.25" customHeight="1" x14ac:dyDescent="0.3">
      <c r="A4338" s="1" t="s">
        <v>4479</v>
      </c>
      <c r="B4338" s="1" t="str">
        <f ca="1">IFERROR(__xludf.DUMMYFUNCTION("GOOGLETRANSLATE(A4338, ""en"", ""fr"")"),"Tokyo International Financial Futures Exchange")</f>
        <v>Tokyo International Financial Futures Exchange</v>
      </c>
      <c r="M4338" s="1" t="s">
        <v>10</v>
      </c>
    </row>
    <row r="4339" spans="1:142" ht="14.25" customHeight="1" x14ac:dyDescent="0.3">
      <c r="A4339" s="1" t="s">
        <v>4480</v>
      </c>
      <c r="B4339" s="1" t="str">
        <f ca="1">IFERROR(__xludf.DUMMYFUNCTION("GOOGLETRANSLATE(A4339, ""en"", ""fr"")"),"TOLÉRER")</f>
        <v>TOLÉRER</v>
      </c>
      <c r="D4339" s="1" t="s">
        <v>4963</v>
      </c>
    </row>
    <row r="4340" spans="1:142" ht="14.25" customHeight="1" x14ac:dyDescent="0.3">
      <c r="A4340" s="1" t="s">
        <v>4481</v>
      </c>
      <c r="B4340" s="1" t="str">
        <f ca="1">IFERROR(__xludf.DUMMYFUNCTION("GOOGLETRANSLATE(A4340, ""en"", ""fr"")"),"Toléré")</f>
        <v>Toléré</v>
      </c>
      <c r="D4340" s="1" t="s">
        <v>4963</v>
      </c>
    </row>
    <row r="4341" spans="1:142" ht="14.25" customHeight="1" x14ac:dyDescent="0.3">
      <c r="A4341" s="1" t="s">
        <v>4482</v>
      </c>
      <c r="B4341" s="1" t="str">
        <f ca="1">IFERROR(__xludf.DUMMYFUNCTION("GOOGLETRANSLATE(A4341, ""en"", ""fr"")"),"Tolérer")</f>
        <v>Tolérer</v>
      </c>
      <c r="D4341" s="1" t="s">
        <v>4963</v>
      </c>
    </row>
    <row r="4342" spans="1:142" ht="14.25" customHeight="1" x14ac:dyDescent="0.3">
      <c r="A4342" s="1" t="s">
        <v>4483</v>
      </c>
      <c r="B4342" s="1" t="str">
        <f ca="1">IFERROR(__xludf.DUMMYFUNCTION("GOOGLETRANSLATE(A4342, ""en"", ""fr"")"),"Tolérant")</f>
        <v>Tolérant</v>
      </c>
      <c r="D4342" s="1" t="s">
        <v>4963</v>
      </c>
    </row>
    <row r="4343" spans="1:142" ht="14.25" customHeight="1" x14ac:dyDescent="0.3">
      <c r="A4343" s="1" t="s">
        <v>4484</v>
      </c>
      <c r="B4343" s="1" t="str">
        <f ca="1">IFERROR(__xludf.DUMMYFUNCTION("GOOGLETRANSLATE(A4343, ""en"", ""fr"")"),"TOLÉRANCE")</f>
        <v>TOLÉRANCE</v>
      </c>
      <c r="D4343" s="1" t="s">
        <v>4963</v>
      </c>
    </row>
    <row r="4344" spans="1:142" ht="14.25" customHeight="1" x14ac:dyDescent="0.3">
      <c r="A4344" s="1" t="s">
        <v>4485</v>
      </c>
      <c r="B4344" s="1" t="str">
        <f ca="1">IFERROR(__xludf.DUMMYFUNCTION("GOOGLETRANSLATE(A4344, ""en"", ""fr"")"),"aussi")</f>
        <v>aussi</v>
      </c>
      <c r="J4344" s="1" t="s">
        <v>7</v>
      </c>
    </row>
    <row r="4345" spans="1:142" ht="14.25" customHeight="1" x14ac:dyDescent="0.3">
      <c r="A4345" s="1" t="s">
        <v>4486</v>
      </c>
      <c r="B4345" s="1" t="str">
        <f ca="1">IFERROR(__xludf.DUMMYFUNCTION("GOOGLETRANSLATE(A4345, ""en"", ""fr"")"),"a pris")</f>
        <v>a pris</v>
      </c>
      <c r="J4345" s="1" t="s">
        <v>7</v>
      </c>
    </row>
    <row r="4346" spans="1:142" ht="14.25" customHeight="1" x14ac:dyDescent="0.3">
      <c r="A4346" s="1" t="s">
        <v>4487</v>
      </c>
      <c r="B4346" s="1" t="str">
        <f ca="1">IFERROR(__xludf.DUMMYFUNCTION("GOOGLETRANSLATE(A4346, ""en"", ""fr"")"),"Main-d'œuvre")</f>
        <v>Main-d'œuvre</v>
      </c>
      <c r="E4346" s="1" t="s">
        <v>3</v>
      </c>
    </row>
    <row r="4347" spans="1:142" ht="14.25" customHeight="1" x14ac:dyDescent="0.3">
      <c r="A4347" s="1" t="s">
        <v>4488</v>
      </c>
      <c r="B4347" s="1" t="str">
        <f ca="1">IFERROR(__xludf.DUMMYFUNCTION("GOOGLETRANSLATE(A4347, ""en"", ""fr"")"),"siffler")</f>
        <v>siffler</v>
      </c>
      <c r="CY4347" s="1" t="s">
        <v>100</v>
      </c>
      <c r="DD4347" s="1" t="s">
        <v>105</v>
      </c>
      <c r="DL4347" s="1" t="s">
        <v>113</v>
      </c>
    </row>
    <row r="4348" spans="1:142" ht="14.25" customHeight="1" x14ac:dyDescent="0.3">
      <c r="A4348" s="1" t="s">
        <v>4489</v>
      </c>
      <c r="B4348" s="1" t="str">
        <f ca="1">IFERROR(__xludf.DUMMYFUNCTION("GOOGLETRANSLATE(A4348, ""en"", ""fr"")"),"Haut de gamme")</f>
        <v>Haut de gamme</v>
      </c>
      <c r="AY4348" s="1" t="s">
        <v>48</v>
      </c>
    </row>
    <row r="4349" spans="1:142" ht="14.25" customHeight="1" x14ac:dyDescent="0.3">
      <c r="A4349" s="1" t="s">
        <v>4490</v>
      </c>
      <c r="B4349" s="1" t="str">
        <f ca="1">IFERROR(__xludf.DUMMYFUNCTION("GOOGLETRANSLATE(A4349, ""en"", ""fr"")"),"pétrole brut surmonté")</f>
        <v>pétrole brut surmonté</v>
      </c>
      <c r="CS4349" s="1" t="s">
        <v>94</v>
      </c>
      <c r="EL4349" s="1" t="s">
        <v>139</v>
      </c>
    </row>
    <row r="4350" spans="1:142" ht="14.25" customHeight="1" x14ac:dyDescent="0.3">
      <c r="A4350" s="1" t="s">
        <v>4491</v>
      </c>
      <c r="B4350" s="1" t="str">
        <f ca="1">IFERROR(__xludf.DUMMYFUNCTION("GOOGLETRANSLATE(A4350, ""en"", ""fr"")"),"basculer")</f>
        <v>basculer</v>
      </c>
      <c r="M4350" s="1" t="s">
        <v>10</v>
      </c>
    </row>
    <row r="4351" spans="1:142" ht="14.25" customHeight="1" x14ac:dyDescent="0.3">
      <c r="A4351" s="1" t="s">
        <v>4492</v>
      </c>
      <c r="B4351" s="1" t="str">
        <f ca="1">IFERROR(__xludf.DUMMYFUNCTION("GOOGLETRANSLATE(A4351, ""en"", ""fr"")"),"En haut")</f>
        <v>En haut</v>
      </c>
      <c r="E4351" s="1" t="s">
        <v>3</v>
      </c>
    </row>
    <row r="4352" spans="1:142" ht="14.25" customHeight="1" x14ac:dyDescent="0.3">
      <c r="A4352" s="1" t="s">
        <v>4493</v>
      </c>
      <c r="B4352" s="1" t="str">
        <f ca="1">IFERROR(__xludf.DUMMYFUNCTION("GOOGLETRANSLATE(A4352, ""en"", ""fr"")"),"TORTUEUX")</f>
        <v>TORTUEUX</v>
      </c>
      <c r="D4352" s="1" t="s">
        <v>4963</v>
      </c>
    </row>
    <row r="4353" spans="1:143" ht="14.25" customHeight="1" x14ac:dyDescent="0.3">
      <c r="A4353" s="1" t="s">
        <v>4494</v>
      </c>
      <c r="B4353" s="1" t="str">
        <f ca="1">IFERROR(__xludf.DUMMYFUNCTION("GOOGLETRANSLATE(A4353, ""en"", ""fr"")"),"Tortueur")</f>
        <v>Tortueur</v>
      </c>
      <c r="D4353" s="1" t="s">
        <v>4963</v>
      </c>
    </row>
    <row r="4354" spans="1:143" ht="14.25" customHeight="1" x14ac:dyDescent="0.3">
      <c r="A4354" s="1" t="s">
        <v>4495</v>
      </c>
      <c r="B4354" s="1" t="str">
        <f ca="1">IFERROR(__xludf.DUMMYFUNCTION("GOOGLETRANSLATE(A4354, ""en"", ""fr"")"),"total")</f>
        <v>total</v>
      </c>
      <c r="L4354" s="1" t="s">
        <v>9</v>
      </c>
      <c r="BP4354" s="1" t="s">
        <v>65</v>
      </c>
      <c r="DT4354" s="1" t="s">
        <v>121</v>
      </c>
      <c r="EM4354" s="1" t="s">
        <v>140</v>
      </c>
    </row>
    <row r="4355" spans="1:143" ht="14.25" customHeight="1" x14ac:dyDescent="0.3">
      <c r="A4355" s="1" t="s">
        <v>4496</v>
      </c>
      <c r="B4355" s="1" t="str">
        <f ca="1">IFERROR(__xludf.DUMMYFUNCTION("GOOGLETRANSLATE(A4355, ""en"", ""fr"")"),"Payrolls totaux non agricoles")</f>
        <v>Payrolls totaux non agricoles</v>
      </c>
      <c r="M4355" s="1" t="s">
        <v>10</v>
      </c>
    </row>
    <row r="4356" spans="1:143" ht="14.25" customHeight="1" x14ac:dyDescent="0.3">
      <c r="A4356" s="1" t="s">
        <v>4497</v>
      </c>
      <c r="B4356" s="1" t="str">
        <f ca="1">IFERROR(__xludf.DUMMYFUNCTION("GOOGLETRANSLATE(A4356, ""en"", ""fr"")"),"Total des stocks de pétrole")</f>
        <v>Total des stocks de pétrole</v>
      </c>
      <c r="EL4356" s="1" t="s">
        <v>139</v>
      </c>
    </row>
    <row r="4357" spans="1:143" ht="14.25" customHeight="1" x14ac:dyDescent="0.3">
      <c r="A4357" s="1" t="s">
        <v>4498</v>
      </c>
      <c r="B4357" s="1" t="str">
        <f ca="1">IFERROR(__xludf.DUMMYFUNCTION("GOOGLETRANSLATE(A4357, ""en"", ""fr"")"),"Refineryantwerp total")</f>
        <v>Refineryantwerp total</v>
      </c>
      <c r="L4357" s="1" t="s">
        <v>9</v>
      </c>
      <c r="AW4357" s="1" t="s">
        <v>46</v>
      </c>
      <c r="BF4357" s="1" t="s">
        <v>55</v>
      </c>
      <c r="EB4357" s="1" t="s">
        <v>129</v>
      </c>
      <c r="EI4357" s="1" t="s">
        <v>136</v>
      </c>
      <c r="EM4357" s="1" t="s">
        <v>140</v>
      </c>
    </row>
    <row r="4358" spans="1:143" ht="14.25" customHeight="1" x14ac:dyDescent="0.3">
      <c r="A4358" s="1" t="s">
        <v>4499</v>
      </c>
      <c r="B4358" s="1" t="str">
        <f ca="1">IFERROR(__xludf.DUMMYFUNCTION("GOOGLETRANSLATE(A4358, ""en"", ""fr"")"),"balance commerciale")</f>
        <v>balance commerciale</v>
      </c>
      <c r="M4358" s="1" t="s">
        <v>10</v>
      </c>
    </row>
    <row r="4359" spans="1:143" ht="14.25" customHeight="1" x14ac:dyDescent="0.3">
      <c r="A4359" s="1" t="s">
        <v>4500</v>
      </c>
      <c r="B4359" s="1" t="str">
        <f ca="1">IFERROR(__xludf.DUMMYFUNCTION("GOOGLETRANSLATE(A4359, ""en"", ""fr"")"),"barrière commerciale")</f>
        <v>barrière commerciale</v>
      </c>
      <c r="M4359" s="1" t="s">
        <v>10</v>
      </c>
    </row>
    <row r="4360" spans="1:143" ht="14.25" customHeight="1" x14ac:dyDescent="0.3">
      <c r="A4360" s="1" t="s">
        <v>4501</v>
      </c>
      <c r="B4360" s="1" t="str">
        <f ca="1">IFERROR(__xludf.DUMMYFUNCTION("GOOGLETRANSLATE(A4360, ""en"", ""fr"")"),"déficit commercial")</f>
        <v>déficit commercial</v>
      </c>
      <c r="M4360" s="1" t="s">
        <v>10</v>
      </c>
    </row>
    <row r="4361" spans="1:143" ht="14.25" customHeight="1" x14ac:dyDescent="0.3">
      <c r="A4361" s="1" t="s">
        <v>4502</v>
      </c>
      <c r="B4361" s="1" t="str">
        <f ca="1">IFERROR(__xludf.DUMMYFUNCTION("GOOGLETRANSLATE(A4361, ""en"", ""fr"")"),"excédent commercial")</f>
        <v>excédent commercial</v>
      </c>
      <c r="M4361" s="1" t="s">
        <v>10</v>
      </c>
    </row>
    <row r="4362" spans="1:143" ht="14.25" customHeight="1" x14ac:dyDescent="0.3">
      <c r="A4362" s="1" t="s">
        <v>4503</v>
      </c>
      <c r="B4362" s="1" t="str">
        <f ca="1">IFERROR(__xludf.DUMMYFUNCTION("GOOGLETRANSLATE(A4362, ""en"", ""fr"")"),"économie traditionnelle")</f>
        <v>économie traditionnelle</v>
      </c>
      <c r="M4362" s="1" t="s">
        <v>10</v>
      </c>
    </row>
    <row r="4363" spans="1:143" ht="14.25" customHeight="1" x14ac:dyDescent="0.3">
      <c r="A4363" s="1" t="s">
        <v>4504</v>
      </c>
      <c r="B4363" s="1" t="str">
        <f ca="1">IFERROR(__xludf.DUMMYFUNCTION("GOOGLETRANSLATE(A4363, ""en"", ""fr"")"),"Tragédies")</f>
        <v>Tragédies</v>
      </c>
      <c r="D4363" s="1" t="s">
        <v>4963</v>
      </c>
    </row>
    <row r="4364" spans="1:143" ht="14.25" customHeight="1" x14ac:dyDescent="0.3">
      <c r="A4364" s="1" t="s">
        <v>4505</v>
      </c>
      <c r="B4364" s="1" t="str">
        <f ca="1">IFERROR(__xludf.DUMMYFUNCTION("GOOGLETRANSLATE(A4364, ""en"", ""fr"")"),"LA TRAGÉDIE")</f>
        <v>LA TRAGÉDIE</v>
      </c>
      <c r="D4364" s="1" t="s">
        <v>4963</v>
      </c>
    </row>
    <row r="4365" spans="1:143" ht="14.25" customHeight="1" x14ac:dyDescent="0.3">
      <c r="A4365" s="1" t="s">
        <v>4506</v>
      </c>
      <c r="B4365" s="1" t="str">
        <f ca="1">IFERROR(__xludf.DUMMYFUNCTION("GOOGLETRANSLATE(A4365, ""en"", ""fr"")"),"TRAGIQUE")</f>
        <v>TRAGIQUE</v>
      </c>
      <c r="D4365" s="1" t="s">
        <v>4963</v>
      </c>
    </row>
    <row r="4366" spans="1:143" ht="14.25" customHeight="1" x14ac:dyDescent="0.3">
      <c r="A4366" s="1" t="s">
        <v>4507</v>
      </c>
      <c r="B4366" s="1" t="str">
        <f ca="1">IFERROR(__xludf.DUMMYFUNCTION("GOOGLETRANSLATE(A4366, ""en"", ""fr"")"),"TRAGIQUEMENT")</f>
        <v>TRAGIQUEMENT</v>
      </c>
      <c r="D4366" s="1" t="s">
        <v>4963</v>
      </c>
    </row>
    <row r="4367" spans="1:143" ht="14.25" customHeight="1" x14ac:dyDescent="0.3">
      <c r="A4367" s="1" t="s">
        <v>4508</v>
      </c>
      <c r="B4367" s="1" t="str">
        <f ca="1">IFERROR(__xludf.DUMMYFUNCTION("GOOGLETRANSLATE(A4367, ""en"", ""fr"")"),"TRANSPARENCE")</f>
        <v>TRANSPARENCE</v>
      </c>
      <c r="H4367" s="1" t="s">
        <v>4964</v>
      </c>
    </row>
    <row r="4368" spans="1:143" ht="14.25" customHeight="1" x14ac:dyDescent="0.3">
      <c r="A4368" s="1" t="s">
        <v>4509</v>
      </c>
      <c r="B4368" s="1" t="str">
        <f ca="1">IFERROR(__xludf.DUMMYFUNCTION("GOOGLETRANSLATE(A4368, ""en"", ""fr"")"),"TRAUMATIQUE")</f>
        <v>TRAUMATIQUE</v>
      </c>
      <c r="D4368" s="1" t="s">
        <v>4963</v>
      </c>
    </row>
    <row r="4369" spans="1:137" ht="14.25" customHeight="1" x14ac:dyDescent="0.3">
      <c r="A4369" s="1" t="s">
        <v>4510</v>
      </c>
      <c r="B4369" s="1" t="str">
        <f ca="1">IFERROR(__xludf.DUMMYFUNCTION("GOOGLETRANSLATE(A4369, ""en"", ""fr"")"),"Budget du Trésor")</f>
        <v>Budget du Trésor</v>
      </c>
      <c r="M4369" s="1" t="s">
        <v>10</v>
      </c>
    </row>
    <row r="4370" spans="1:137" ht="14.25" customHeight="1" x14ac:dyDescent="0.3">
      <c r="A4370" s="1" t="s">
        <v>4511</v>
      </c>
      <c r="B4370" s="1" t="str">
        <f ca="1">IFERROR(__xludf.DUMMYFUNCTION("GOOGLETRANSLATE(A4370, ""en"", ""fr"")"),"bétail du Trésor")</f>
        <v>bétail du Trésor</v>
      </c>
      <c r="CR4370" s="1" t="s">
        <v>93</v>
      </c>
    </row>
    <row r="4371" spans="1:137" ht="14.25" customHeight="1" x14ac:dyDescent="0.3">
      <c r="A4371" s="1" t="s">
        <v>4512</v>
      </c>
      <c r="B4371" s="1" t="str">
        <f ca="1">IFERROR(__xludf.DUMMYFUNCTION("GOOGLETRANSLATE(A4371, ""en"", ""fr"")"),"FORMIDABLE")</f>
        <v>FORMIDABLE</v>
      </c>
      <c r="H4371" s="1" t="s">
        <v>4964</v>
      </c>
    </row>
    <row r="4372" spans="1:137" ht="14.25" customHeight="1" x14ac:dyDescent="0.3">
      <c r="A4372" s="1" t="s">
        <v>4513</v>
      </c>
      <c r="B4372" s="1" t="str">
        <f ca="1">IFERROR(__xludf.DUMMYFUNCTION("GOOGLETRANSLATE(A4372, ""en"", ""fr"")"),"Extrêmement")</f>
        <v>Extrêmement</v>
      </c>
      <c r="H4372" s="1" t="s">
        <v>4964</v>
      </c>
    </row>
    <row r="4373" spans="1:137" ht="14.25" customHeight="1" x14ac:dyDescent="0.3">
      <c r="A4373" s="1" t="s">
        <v>4514</v>
      </c>
      <c r="B4373" s="1" t="str">
        <f ca="1">IFERROR(__xludf.DUMMYFUNCTION("GOOGLETRANSLATE(A4373, ""en"", ""fr"")"),"Théorie du ruissellement")</f>
        <v>Théorie du ruissellement</v>
      </c>
      <c r="M4373" s="1" t="s">
        <v>10</v>
      </c>
    </row>
    <row r="4374" spans="1:137" ht="14.25" customHeight="1" x14ac:dyDescent="0.3">
      <c r="A4374" s="1" t="s">
        <v>4515</v>
      </c>
      <c r="B4374" s="1" t="str">
        <f ca="1">IFERROR(__xludf.DUMMYFUNCTION("GOOGLETRANSLATE(A4374, ""en"", ""fr"")"),"Trébucher")</f>
        <v>Trébucher</v>
      </c>
      <c r="AY4374" s="1" t="s">
        <v>48</v>
      </c>
    </row>
    <row r="4375" spans="1:137" ht="14.25" customHeight="1" x14ac:dyDescent="0.3">
      <c r="A4375" s="1" t="s">
        <v>4516</v>
      </c>
      <c r="B4375" s="1" t="str">
        <f ca="1">IFERROR(__xludf.DUMMYFUNCTION("GOOGLETRANSLATE(A4375, ""en"", ""fr"")"),"Trébucher")</f>
        <v>Trébucher</v>
      </c>
      <c r="AY4375" s="1" t="s">
        <v>48</v>
      </c>
    </row>
    <row r="4376" spans="1:137" ht="14.25" customHeight="1" x14ac:dyDescent="0.3">
      <c r="A4376" s="1" t="s">
        <v>4517</v>
      </c>
      <c r="B4376" s="1" t="str">
        <f ca="1">IFERROR(__xludf.DUMMYFUNCTION("GOOGLETRANSLATE(A4376, ""en"", ""fr"")"),"Triton")</f>
        <v>Triton</v>
      </c>
      <c r="R4376" s="1" t="s">
        <v>15</v>
      </c>
      <c r="CS4376" s="1" t="s">
        <v>94</v>
      </c>
    </row>
    <row r="4377" spans="1:137" ht="14.25" customHeight="1" x14ac:dyDescent="0.3">
      <c r="A4377" s="1" t="s">
        <v>4518</v>
      </c>
      <c r="B4377" s="1" t="str">
        <f ca="1">IFERROR(__xludf.DUMMYFUNCTION("GOOGLETRANSLATE(A4377, ""en"", ""fr"")"),"Mélange de troll")</f>
        <v>Mélange de troll</v>
      </c>
      <c r="R4377" s="1" t="s">
        <v>15</v>
      </c>
      <c r="CS4377" s="1" t="s">
        <v>94</v>
      </c>
    </row>
    <row r="4378" spans="1:137" ht="14.25" customHeight="1" x14ac:dyDescent="0.3">
      <c r="A4378" s="1" t="s">
        <v>4519</v>
      </c>
      <c r="B4378" s="1" t="str">
        <f ca="1">IFERROR(__xludf.DUMMYFUNCTION("GOOGLETRANSLATE(A4378, ""en"", ""fr"")"),"trollvest")</f>
        <v>trollvest</v>
      </c>
      <c r="BB4378" s="1" t="s">
        <v>51</v>
      </c>
      <c r="DD4378" s="1" t="s">
        <v>105</v>
      </c>
    </row>
    <row r="4379" spans="1:137" ht="14.25" customHeight="1" x14ac:dyDescent="0.3">
      <c r="A4379" s="1" t="s">
        <v>4520</v>
      </c>
      <c r="B4379" s="1" t="str">
        <f ca="1">IFERROR(__xludf.DUMMYFUNCTION("GOOGLETRANSLATE(A4379, ""en"", ""fr"")"),"INQUIÉTER")</f>
        <v>INQUIÉTER</v>
      </c>
      <c r="D4379" s="1" t="s">
        <v>4963</v>
      </c>
    </row>
    <row r="4380" spans="1:137" ht="14.25" customHeight="1" x14ac:dyDescent="0.3">
      <c r="A4380" s="1" t="s">
        <v>4521</v>
      </c>
      <c r="B4380" s="1" t="str">
        <f ca="1">IFERROR(__xludf.DUMMYFUNCTION("GOOGLETRANSLATE(A4380, ""en"", ""fr"")"),"TROUBLÉ")</f>
        <v>TROUBLÉ</v>
      </c>
      <c r="D4380" s="1" t="s">
        <v>4963</v>
      </c>
    </row>
    <row r="4381" spans="1:137" ht="14.25" customHeight="1" x14ac:dyDescent="0.3">
      <c r="A4381" s="1" t="s">
        <v>4522</v>
      </c>
      <c r="B4381" s="1" t="str">
        <f ca="1">IFERROR(__xludf.DUMMYFUNCTION("GOOGLETRANSLATE(A4381, ""en"", ""fr"")"),"Programme de soulagement des actifs en difficulté")</f>
        <v>Programme de soulagement des actifs en difficulté</v>
      </c>
      <c r="M4381" s="1" t="s">
        <v>10</v>
      </c>
    </row>
    <row r="4382" spans="1:137" ht="14.25" customHeight="1" x14ac:dyDescent="0.3">
      <c r="A4382" s="1" t="s">
        <v>4523</v>
      </c>
      <c r="B4382" s="1" t="str">
        <f ca="1">IFERROR(__xludf.DUMMYFUNCTION("GOOGLETRANSLATE(A4382, ""en"", ""fr"")"),"TROUBLES")</f>
        <v>TROUBLES</v>
      </c>
      <c r="D4382" s="1" t="s">
        <v>4963</v>
      </c>
    </row>
    <row r="4383" spans="1:137" ht="14.25" customHeight="1" x14ac:dyDescent="0.3">
      <c r="A4383" s="1" t="s">
        <v>4524</v>
      </c>
      <c r="B4383" s="1" t="str">
        <f ca="1">IFERROR(__xludf.DUMMYFUNCTION("GOOGLETRANSLATE(A4383, ""en"", ""fr"")"),"Tubes")</f>
        <v>Tubes</v>
      </c>
      <c r="E4383" s="1" t="s">
        <v>3</v>
      </c>
    </row>
    <row r="4384" spans="1:137" ht="14.25" customHeight="1" x14ac:dyDescent="0.3">
      <c r="A4384" s="1" t="s">
        <v>4525</v>
      </c>
      <c r="B4384" s="1" t="str">
        <f ca="1">IFERROR(__xludf.DUMMYFUNCTION("GOOGLETRANSLATE(A4384, ""en"", ""fr"")"),"tupi")</f>
        <v>tupi</v>
      </c>
      <c r="AS4384" s="1" t="s">
        <v>42</v>
      </c>
      <c r="BW4384" s="1" t="s">
        <v>72</v>
      </c>
      <c r="DD4384" s="1" t="s">
        <v>105</v>
      </c>
      <c r="EG4384" s="1" t="s">
        <v>134</v>
      </c>
    </row>
    <row r="4385" spans="1:141" ht="14.25" customHeight="1" x14ac:dyDescent="0.3">
      <c r="A4385" s="1" t="s">
        <v>4526</v>
      </c>
      <c r="B4385" s="1" t="str">
        <f ca="1">IFERROR(__xludf.DUMMYFUNCTION("GOOGLETRANSLATE(A4385, ""en"", ""fr"")"),"TURBULENCE")</f>
        <v>TURBULENCE</v>
      </c>
      <c r="D4385" s="1" t="s">
        <v>4963</v>
      </c>
    </row>
    <row r="4386" spans="1:141" ht="14.25" customHeight="1" x14ac:dyDescent="0.3">
      <c r="A4386" s="1" t="s">
        <v>4527</v>
      </c>
      <c r="B4386" s="1" t="str">
        <f ca="1">IFERROR(__xludf.DUMMYFUNCTION("GOOGLETRANSLATE(A4386, ""en"", ""fr"")"),"Mélange turkmène")</f>
        <v>Mélange turkmène</v>
      </c>
      <c r="R4386" s="1" t="s">
        <v>15</v>
      </c>
      <c r="CS4386" s="1" t="s">
        <v>94</v>
      </c>
    </row>
    <row r="4387" spans="1:141" ht="14.25" customHeight="1" x14ac:dyDescent="0.3">
      <c r="A4387" s="1" t="s">
        <v>4528</v>
      </c>
      <c r="B4387" s="1" t="str">
        <f ca="1">IFERROR(__xludf.DUMMYFUNCTION("GOOGLETRANSLATE(A4387, ""en"", ""fr"")"),"LA TOURMENTE")</f>
        <v>LA TOURMENTE</v>
      </c>
      <c r="D4387" s="1" t="s">
        <v>4963</v>
      </c>
    </row>
    <row r="4388" spans="1:141" ht="14.25" customHeight="1" x14ac:dyDescent="0.3">
      <c r="A4388" s="1" t="s">
        <v>4529</v>
      </c>
      <c r="B4388" s="1" t="str">
        <f ca="1">IFERROR(__xludf.DUMMYFUNCTION("GOOGLETRANSLATE(A4388, ""en"", ""fr"")"),"Tumazinskoe]")</f>
        <v>Tumazinskoe]</v>
      </c>
      <c r="AK4388" s="1" t="s">
        <v>34</v>
      </c>
      <c r="BH4388" s="1" t="s">
        <v>57</v>
      </c>
      <c r="BW4388" s="1" t="s">
        <v>72</v>
      </c>
      <c r="DD4388" s="1" t="s">
        <v>105</v>
      </c>
    </row>
    <row r="4389" spans="1:141" ht="14.25" customHeight="1" x14ac:dyDescent="0.3">
      <c r="A4389" s="1" t="s">
        <v>4530</v>
      </c>
      <c r="B4389" s="1" t="str">
        <f ca="1">IFERROR(__xludf.DUMMYFUNCTION("GOOGLETRANSLATE(A4389, ""en"", ""fr"")"),"modèle de collecte typique")</f>
        <v>modèle de collecte typique</v>
      </c>
      <c r="CR4389" s="1" t="s">
        <v>93</v>
      </c>
    </row>
    <row r="4390" spans="1:141" ht="14.25" customHeight="1" x14ac:dyDescent="0.3">
      <c r="A4390" s="1" t="s">
        <v>4531</v>
      </c>
      <c r="B4390" s="1" t="str">
        <f ca="1">IFERROR(__xludf.DUMMYFUNCTION("GOOGLETRANSLATE(A4390, ""en"", ""fr"")"),"modèle de paiement typique")</f>
        <v>modèle de paiement typique</v>
      </c>
      <c r="CR4390" s="1" t="s">
        <v>93</v>
      </c>
    </row>
    <row r="4391" spans="1:141" ht="14.25" customHeight="1" x14ac:dyDescent="0.3">
      <c r="A4391" s="1" t="s">
        <v>4532</v>
      </c>
      <c r="B4391" s="1" t="str">
        <f ca="1">IFERROR(__xludf.DUMMYFUNCTION("GOOGLETRANSLATE(A4391, ""en"", ""fr"")"),"Royaume-Uni")</f>
        <v>Royaume-Uni</v>
      </c>
      <c r="Z4391" s="1" t="s">
        <v>23</v>
      </c>
      <c r="AR4391" s="1" t="s">
        <v>41</v>
      </c>
      <c r="EK4391" s="1" t="s">
        <v>138</v>
      </c>
    </row>
    <row r="4392" spans="1:141" ht="14.25" customHeight="1" x14ac:dyDescent="0.3">
      <c r="A4392" s="1" t="s">
        <v>4533</v>
      </c>
      <c r="B4392" s="1" t="str">
        <f ca="1">IFERROR(__xludf.DUMMYFUNCTION("GOOGLETRANSLATE(A4392, ""en"", ""fr"")"),"Ukpokiti")</f>
        <v>Ukpokiti</v>
      </c>
      <c r="R4392" s="1" t="s">
        <v>15</v>
      </c>
      <c r="CS4392" s="1" t="s">
        <v>94</v>
      </c>
    </row>
    <row r="4393" spans="1:141" ht="14.25" customHeight="1" x14ac:dyDescent="0.3">
      <c r="A4393" s="1" t="s">
        <v>4534</v>
      </c>
      <c r="B4393" s="1" t="str">
        <f ca="1">IFERROR(__xludf.DUMMYFUNCTION("GOOGLETRANSLATE(A4393, ""en"", ""fr"")"),"Ukraine")</f>
        <v>Ukraine</v>
      </c>
      <c r="BY4393" s="1" t="s">
        <v>74</v>
      </c>
    </row>
    <row r="4394" spans="1:141" ht="14.25" customHeight="1" x14ac:dyDescent="0.3">
      <c r="A4394" s="1" t="s">
        <v>4535</v>
      </c>
      <c r="B4394" s="1" t="str">
        <f ca="1">IFERROR(__xludf.DUMMYFUNCTION("GOOGLETRANSLATE(A4394, ""en"", ""fr"")"),"Umm Shaif")</f>
        <v>Umm Shaif</v>
      </c>
      <c r="R4394" s="1" t="s">
        <v>15</v>
      </c>
      <c r="CS4394" s="1" t="s">
        <v>94</v>
      </c>
    </row>
    <row r="4395" spans="1:141" ht="14.25" customHeight="1" x14ac:dyDescent="0.3">
      <c r="A4395" s="1" t="s">
        <v>4536</v>
      </c>
      <c r="B4395" s="1" t="str">
        <f ca="1">IFERROR(__xludf.DUMMYFUNCTION("GOOGLETRANSLATE(A4395, ""en"", ""fr"")"),"INCAPABLE")</f>
        <v>INCAPABLE</v>
      </c>
      <c r="D4395" s="1" t="s">
        <v>4963</v>
      </c>
    </row>
    <row r="4396" spans="1:141" ht="14.25" customHeight="1" x14ac:dyDescent="0.3">
      <c r="A4396" s="1" t="s">
        <v>4537</v>
      </c>
      <c r="B4396" s="1" t="str">
        <f ca="1">IFERROR(__xludf.DUMMYFUNCTION("GOOGLETRANSLATE(A4396, ""en"", ""fr"")"),"INACCEPTABLE")</f>
        <v>INACCEPTABLE</v>
      </c>
      <c r="D4396" s="1" t="s">
        <v>4963</v>
      </c>
    </row>
    <row r="4397" spans="1:141" ht="14.25" customHeight="1" x14ac:dyDescent="0.3">
      <c r="A4397" s="1" t="s">
        <v>4538</v>
      </c>
      <c r="B4397" s="1" t="str">
        <f ca="1">IFERROR(__xludf.DUMMYFUNCTION("GOOGLETRANSLATE(A4397, ""en"", ""fr"")"),"Inacceptablement")</f>
        <v>Inacceptablement</v>
      </c>
      <c r="D4397" s="1" t="s">
        <v>4963</v>
      </c>
    </row>
    <row r="4398" spans="1:141" ht="14.25" customHeight="1" x14ac:dyDescent="0.3">
      <c r="A4398" s="1" t="s">
        <v>4539</v>
      </c>
      <c r="B4398" s="1" t="str">
        <f ca="1">IFERROR(__xludf.DUMMYFUNCTION("GOOGLETRANSLATE(A4398, ""en"", ""fr"")"),"Non comptabilisé")</f>
        <v>Non comptabilisé</v>
      </c>
      <c r="D4398" s="1" t="s">
        <v>4963</v>
      </c>
    </row>
    <row r="4399" spans="1:141" ht="14.25" customHeight="1" x14ac:dyDescent="0.3">
      <c r="A4399" s="1" t="s">
        <v>4540</v>
      </c>
      <c r="B4399" s="1" t="str">
        <f ca="1">IFERROR(__xludf.DUMMYFUNCTION("GOOGLETRANSLATE(A4399, ""en"", ""fr"")"),"À l'improviste")</f>
        <v>À l'improviste</v>
      </c>
      <c r="D4399" s="1" t="s">
        <v>4963</v>
      </c>
    </row>
    <row r="4400" spans="1:141" ht="14.25" customHeight="1" x14ac:dyDescent="0.3">
      <c r="A4400" s="1" t="s">
        <v>4541</v>
      </c>
      <c r="B4400" s="1" t="str">
        <f ca="1">IFERROR(__xludf.DUMMYFUNCTION("GOOGLETRANSLATE(A4400, ""en"", ""fr"")"),"Imprévu")</f>
        <v>Imprévu</v>
      </c>
      <c r="D4400" s="1" t="s">
        <v>4963</v>
      </c>
    </row>
    <row r="4401" spans="1:13" ht="14.25" customHeight="1" x14ac:dyDescent="0.3">
      <c r="A4401" s="1" t="s">
        <v>4542</v>
      </c>
      <c r="B4401" s="1" t="str">
        <f ca="1">IFERROR(__xludf.DUMMYFUNCTION("GOOGLETRANSLATE(A4401, ""en"", ""fr"")"),"DÉSAPPROUVÉ")</f>
        <v>DÉSAPPROUVÉ</v>
      </c>
      <c r="D4401" s="1" t="s">
        <v>4963</v>
      </c>
    </row>
    <row r="4402" spans="1:13" ht="14.25" customHeight="1" x14ac:dyDescent="0.3">
      <c r="A4402" s="1" t="s">
        <v>4543</v>
      </c>
      <c r="B4402" s="1" t="str">
        <f ca="1">IFERROR(__xludf.DUMMYFUNCTION("GOOGLETRANSLATE(A4402, ""en"", ""fr"")"),"PEU ATTRAYANT")</f>
        <v>PEU ATTRAYANT</v>
      </c>
      <c r="D4402" s="1" t="s">
        <v>4963</v>
      </c>
    </row>
    <row r="4403" spans="1:13" ht="14.25" customHeight="1" x14ac:dyDescent="0.3">
      <c r="A4403" s="1" t="s">
        <v>4544</v>
      </c>
      <c r="B4403" s="1" t="str">
        <f ca="1">IFERROR(__xludf.DUMMYFUNCTION("GOOGLETRANSLATE(A4403, ""en"", ""fr"")"),"Non autorisé")</f>
        <v>Non autorisé</v>
      </c>
      <c r="D4403" s="1" t="s">
        <v>4963</v>
      </c>
    </row>
    <row r="4404" spans="1:13" ht="14.25" customHeight="1" x14ac:dyDescent="0.3">
      <c r="A4404" s="1" t="s">
        <v>4545</v>
      </c>
      <c r="B4404" s="1" t="str">
        <f ca="1">IFERROR(__xludf.DUMMYFUNCTION("GOOGLETRANSLATE(A4404, ""en"", ""fr"")"),"Indisponibilité")</f>
        <v>Indisponibilité</v>
      </c>
      <c r="D4404" s="1" t="s">
        <v>4963</v>
      </c>
    </row>
    <row r="4405" spans="1:13" ht="14.25" customHeight="1" x14ac:dyDescent="0.3">
      <c r="A4405" s="1" t="s">
        <v>4546</v>
      </c>
      <c r="B4405" s="1" t="str">
        <f ca="1">IFERROR(__xludf.DUMMYFUNCTION("GOOGLETRANSLATE(A4405, ""en"", ""fr"")"),"INDISPONIBLE")</f>
        <v>INDISPONIBLE</v>
      </c>
      <c r="D4405" s="1" t="s">
        <v>4963</v>
      </c>
    </row>
    <row r="4406" spans="1:13" ht="14.25" customHeight="1" x14ac:dyDescent="0.3">
      <c r="A4406" s="1" t="s">
        <v>4547</v>
      </c>
      <c r="B4406" s="1" t="str">
        <f ca="1">IFERROR(__xludf.DUMMYFUNCTION("GOOGLETRANSLATE(A4406, ""en"", ""fr"")"),"INÉVITABLE")</f>
        <v>INÉVITABLE</v>
      </c>
      <c r="D4406" s="1" t="s">
        <v>4963</v>
      </c>
    </row>
    <row r="4407" spans="1:13" ht="14.25" customHeight="1" x14ac:dyDescent="0.3">
      <c r="A4407" s="1" t="s">
        <v>4548</v>
      </c>
      <c r="B4407" s="1" t="str">
        <f ca="1">IFERROR(__xludf.DUMMYFUNCTION("GOOGLETRANSLATE(A4407, ""en"", ""fr"")"),"Inévitablement")</f>
        <v>Inévitablement</v>
      </c>
      <c r="D4407" s="1" t="s">
        <v>4963</v>
      </c>
    </row>
    <row r="4408" spans="1:13" ht="14.25" customHeight="1" x14ac:dyDescent="0.3">
      <c r="A4408" s="1" t="s">
        <v>4549</v>
      </c>
      <c r="B4408" s="1" t="str">
        <f ca="1">IFERROR(__xludf.DUMMYFUNCTION("GOOGLETRANSLATE(A4408, ""en"", ""fr"")"),"IGNORANT")</f>
        <v>IGNORANT</v>
      </c>
      <c r="D4408" s="1" t="s">
        <v>4963</v>
      </c>
    </row>
    <row r="4409" spans="1:13" ht="14.25" customHeight="1" x14ac:dyDescent="0.3">
      <c r="A4409" s="1" t="s">
        <v>4550</v>
      </c>
      <c r="B4409" s="1" t="str">
        <f ca="1">IFERROR(__xludf.DUMMYFUNCTION("GOOGLETRANSLATE(A4409, ""en"", ""fr"")"),"croissance déséquilibrée")</f>
        <v>croissance déséquilibrée</v>
      </c>
      <c r="M4409" s="1" t="s">
        <v>10</v>
      </c>
    </row>
    <row r="4410" spans="1:13" ht="14.25" customHeight="1" x14ac:dyDescent="0.3">
      <c r="A4410" s="1" t="s">
        <v>4551</v>
      </c>
      <c r="B4410" s="1" t="str">
        <f ca="1">IFERROR(__xludf.DUMMYFUNCTION("GOOGLETRANSLATE(A4410, ""en"", ""fr"")"),"Irréprochable")</f>
        <v>Irréprochable</v>
      </c>
      <c r="D4410" s="1" t="s">
        <v>4963</v>
      </c>
    </row>
    <row r="4411" spans="1:13" ht="14.25" customHeight="1" x14ac:dyDescent="0.3">
      <c r="A4411" s="1" t="s">
        <v>4552</v>
      </c>
      <c r="B4411" s="1" t="str">
        <f ca="1">IFERROR(__xludf.DUMMYFUNCTION("GOOGLETRANSLATE(A4411, ""en"", ""fr"")"),"Non collecté")</f>
        <v>Non collecté</v>
      </c>
      <c r="D4411" s="1" t="s">
        <v>4963</v>
      </c>
    </row>
    <row r="4412" spans="1:13" ht="14.25" customHeight="1" x14ac:dyDescent="0.3">
      <c r="A4412" s="1" t="s">
        <v>4553</v>
      </c>
      <c r="B4412" s="1" t="str">
        <f ca="1">IFERROR(__xludf.DUMMYFUNCTION("GOOGLETRANSLATE(A4412, ""en"", ""fr"")"),"Non-collectibilité")</f>
        <v>Non-collectibilité</v>
      </c>
      <c r="D4412" s="1" t="s">
        <v>4963</v>
      </c>
    </row>
    <row r="4413" spans="1:13" ht="14.25" customHeight="1" x14ac:dyDescent="0.3">
      <c r="A4413" s="1" t="s">
        <v>4554</v>
      </c>
      <c r="B4413" s="1" t="str">
        <f ca="1">IFERROR(__xludf.DUMMYFUNCTION("GOOGLETRANSLATE(A4413, ""en"", ""fr"")"),"Inébranlable")</f>
        <v>Inébranlable</v>
      </c>
      <c r="D4413" s="1" t="s">
        <v>4963</v>
      </c>
    </row>
    <row r="4414" spans="1:13" ht="14.25" customHeight="1" x14ac:dyDescent="0.3">
      <c r="A4414" s="1" t="s">
        <v>4555</v>
      </c>
      <c r="B4414" s="1" t="str">
        <f ca="1">IFERROR(__xludf.DUMMYFUNCTION("GOOGLETRANSLATE(A4414, ""en"", ""fr"")"),"Non-collectibles")</f>
        <v>Non-collectibles</v>
      </c>
      <c r="D4414" s="1" t="s">
        <v>4963</v>
      </c>
    </row>
    <row r="4415" spans="1:13" ht="14.25" customHeight="1" x14ac:dyDescent="0.3">
      <c r="A4415" s="1" t="s">
        <v>4556</v>
      </c>
      <c r="B4415" s="1" t="str">
        <f ca="1">IFERROR(__xludf.DUMMYFUNCTION("GOOGLETRANSLATE(A4415, ""en"", ""fr"")"),"Non compétitif")</f>
        <v>Non compétitif</v>
      </c>
      <c r="D4415" s="1" t="s">
        <v>4963</v>
      </c>
    </row>
    <row r="4416" spans="1:13" ht="14.25" customHeight="1" x14ac:dyDescent="0.3">
      <c r="A4416" s="1" t="s">
        <v>4557</v>
      </c>
      <c r="B4416" s="1" t="str">
        <f ca="1">IFERROR(__xludf.DUMMYFUNCTION("GOOGLETRANSLATE(A4416, ""en"", ""fr"")"),"INACHEVÉ")</f>
        <v>INACHEVÉ</v>
      </c>
      <c r="D4416" s="1" t="s">
        <v>4963</v>
      </c>
    </row>
    <row r="4417" spans="1:142" ht="14.25" customHeight="1" x14ac:dyDescent="0.3">
      <c r="A4417" s="1" t="s">
        <v>4558</v>
      </c>
      <c r="B4417" s="1" t="str">
        <f ca="1">IFERROR(__xludf.DUMMYFUNCTION("GOOGLETRANSLATE(A4417, ""en"", ""fr"")"),"DÉRAISONNABLE")</f>
        <v>DÉRAISONNABLE</v>
      </c>
      <c r="D4417" s="1" t="s">
        <v>4963</v>
      </c>
    </row>
    <row r="4418" spans="1:142" ht="14.25" customHeight="1" x14ac:dyDescent="0.3">
      <c r="A4418" s="1" t="s">
        <v>4559</v>
      </c>
      <c r="B4418" s="1" t="str">
        <f ca="1">IFERROR(__xludf.DUMMYFUNCTION("GOOGLETRANSLATE(A4418, ""en"", ""fr"")"),"Inconsciemment")</f>
        <v>Inconsciemment</v>
      </c>
      <c r="D4418" s="1" t="s">
        <v>4963</v>
      </c>
    </row>
    <row r="4419" spans="1:142" ht="14.25" customHeight="1" x14ac:dyDescent="0.3">
      <c r="A4419" s="1" t="s">
        <v>4560</v>
      </c>
      <c r="B4419" s="1" t="str">
        <f ca="1">IFERROR(__xludf.DUMMYFUNCTION("GOOGLETRANSLATE(A4419, ""en"", ""fr"")"),"INCONTRÔLABLE")</f>
        <v>INCONTRÔLABLE</v>
      </c>
      <c r="D4419" s="1" t="s">
        <v>4963</v>
      </c>
    </row>
    <row r="4420" spans="1:142" ht="14.25" customHeight="1" x14ac:dyDescent="0.3">
      <c r="A4420" s="1" t="s">
        <v>4561</v>
      </c>
      <c r="B4420" s="1" t="str">
        <f ca="1">IFERROR(__xludf.DUMMYFUNCTION("GOOGLETRANSLATE(A4420, ""en"", ""fr"")"),"Incontrôlable")</f>
        <v>Incontrôlable</v>
      </c>
      <c r="D4420" s="1" t="s">
        <v>4963</v>
      </c>
    </row>
    <row r="4421" spans="1:142" ht="14.25" customHeight="1" x14ac:dyDescent="0.3">
      <c r="A4421" s="1" t="s">
        <v>4562</v>
      </c>
      <c r="B4421" s="1" t="str">
        <f ca="1">IFERROR(__xludf.DUMMYFUNCTION("GOOGLETRANSLATE(A4421, ""en"", ""fr"")"),"INCONTRÔLÉ")</f>
        <v>INCONTRÔLÉ</v>
      </c>
      <c r="D4421" s="1" t="s">
        <v>4963</v>
      </c>
    </row>
    <row r="4422" spans="1:142" ht="14.25" customHeight="1" x14ac:dyDescent="0.3">
      <c r="A4422" s="1" t="s">
        <v>4563</v>
      </c>
      <c r="B4422" s="1" t="str">
        <f ca="1">IFERROR(__xludf.DUMMYFUNCTION("GOOGLETRANSLATE(A4422, ""en"", ""fr"")"),"Gaz naturel non conventionnel")</f>
        <v>Gaz naturel non conventionnel</v>
      </c>
      <c r="EL4422" s="1" t="s">
        <v>139</v>
      </c>
    </row>
    <row r="4423" spans="1:142" ht="14.25" customHeight="1" x14ac:dyDescent="0.3">
      <c r="A4423" s="1" t="s">
        <v>4564</v>
      </c>
      <c r="B4423" s="1" t="str">
        <f ca="1">IFERROR(__xludf.DUMMYFUNCTION("GOOGLETRANSLATE(A4423, ""en"", ""fr"")"),"Non corrigé")</f>
        <v>Non corrigé</v>
      </c>
      <c r="D4423" s="1" t="s">
        <v>4963</v>
      </c>
    </row>
    <row r="4424" spans="1:142" ht="14.25" customHeight="1" x14ac:dyDescent="0.3">
      <c r="A4424" s="1" t="s">
        <v>4565</v>
      </c>
      <c r="B4424" s="1" t="str">
        <f ca="1">IFERROR(__xludf.DUMMYFUNCTION("GOOGLETRANSLATE(A4424, ""en"", ""fr"")"),"DÉVOILER")</f>
        <v>DÉVOILER</v>
      </c>
      <c r="D4424" s="1" t="s">
        <v>4963</v>
      </c>
    </row>
    <row r="4425" spans="1:142" ht="14.25" customHeight="1" x14ac:dyDescent="0.3">
      <c r="A4425" s="1" t="s">
        <v>4566</v>
      </c>
      <c r="B4425" s="1" t="str">
        <f ca="1">IFERROR(__xludf.DUMMYFUNCTION("GOOGLETRANSLATE(A4425, ""en"", ""fr"")"),"DÉCOUVERT")</f>
        <v>DÉCOUVERT</v>
      </c>
      <c r="D4425" s="1" t="s">
        <v>4963</v>
      </c>
    </row>
    <row r="4426" spans="1:142" ht="14.25" customHeight="1" x14ac:dyDescent="0.3">
      <c r="A4426" s="1" t="s">
        <v>4567</v>
      </c>
      <c r="B4426" s="1" t="str">
        <f ca="1">IFERROR(__xludf.DUMMYFUNCTION("GOOGLETRANSLATE(A4426, ""en"", ""fr"")"),"Découverte")</f>
        <v>Découverte</v>
      </c>
      <c r="D4426" s="1" t="s">
        <v>4963</v>
      </c>
    </row>
    <row r="4427" spans="1:142" ht="14.25" customHeight="1" x14ac:dyDescent="0.3">
      <c r="A4427" s="1" t="s">
        <v>4568</v>
      </c>
      <c r="B4427" s="1" t="str">
        <f ca="1">IFERROR(__xludf.DUMMYFUNCTION("GOOGLETRANSLATE(A4427, ""en"", ""fr"")"),"Révocation")</f>
        <v>Révocation</v>
      </c>
      <c r="D4427" s="1" t="s">
        <v>4963</v>
      </c>
    </row>
    <row r="4428" spans="1:142" ht="14.25" customHeight="1" x14ac:dyDescent="0.3">
      <c r="A4428" s="1" t="s">
        <v>4569</v>
      </c>
      <c r="B4428" s="1" t="str">
        <f ca="1">IFERROR(__xludf.DUMMYFUNCTION("GOOGLETRANSLATE(A4428, ""en"", ""fr"")"),"Non livrable")</f>
        <v>Non livrable</v>
      </c>
      <c r="D4428" s="1" t="s">
        <v>4963</v>
      </c>
    </row>
    <row r="4429" spans="1:142" ht="14.25" customHeight="1" x14ac:dyDescent="0.3">
      <c r="A4429" s="1" t="s">
        <v>4570</v>
      </c>
      <c r="B4429" s="1" t="str">
        <f ca="1">IFERROR(__xludf.DUMMYFUNCTION("GOOGLETRANSLATE(A4429, ""en"", ""fr"")"),"NON REMIS")</f>
        <v>NON REMIS</v>
      </c>
      <c r="D4429" s="1" t="s">
        <v>4963</v>
      </c>
    </row>
    <row r="4430" spans="1:142" ht="14.25" customHeight="1" x14ac:dyDescent="0.3">
      <c r="A4430" s="1" t="s">
        <v>4571</v>
      </c>
      <c r="B4430" s="1" t="str">
        <f ca="1">IFERROR(__xludf.DUMMYFUNCTION("GOOGLETRANSLATE(A4430, ""en"", ""fr"")"),"sous")</f>
        <v>sous</v>
      </c>
      <c r="J4430" s="1" t="s">
        <v>7</v>
      </c>
    </row>
    <row r="4431" spans="1:142" ht="14.25" customHeight="1" x14ac:dyDescent="0.3">
      <c r="A4431" s="1" t="s">
        <v>4572</v>
      </c>
      <c r="B4431" s="1" t="str">
        <f ca="1">IFERROR(__xludf.DUMMYFUNCTION("GOOGLETRANSLATE(A4431, ""en"", ""fr"")"),"Sous-capitalisé")</f>
        <v>Sous-capitalisé</v>
      </c>
      <c r="D4431" s="1" t="s">
        <v>4963</v>
      </c>
    </row>
    <row r="4432" spans="1:142" ht="14.25" customHeight="1" x14ac:dyDescent="0.3">
      <c r="A4432" s="1" t="s">
        <v>4573</v>
      </c>
      <c r="B4432" s="1" t="str">
        <f ca="1">IFERROR(__xludf.DUMMYFUNCTION("GOOGLETRANSLATE(A4432, ""en"", ""fr"")"),"SAPER")</f>
        <v>SAPER</v>
      </c>
      <c r="D4432" s="1" t="s">
        <v>4963</v>
      </c>
    </row>
    <row r="4433" spans="1:13" ht="14.25" customHeight="1" x14ac:dyDescent="0.3">
      <c r="A4433" s="1" t="s">
        <v>4574</v>
      </c>
      <c r="B4433" s="1" t="str">
        <f ca="1">IFERROR(__xludf.DUMMYFUNCTION("GOOGLETRANSLATE(A4433, ""en"", ""fr"")"),"Sous-dépouille")</f>
        <v>Sous-dépouille</v>
      </c>
      <c r="D4433" s="1" t="s">
        <v>4963</v>
      </c>
    </row>
    <row r="4434" spans="1:13" ht="14.25" customHeight="1" x14ac:dyDescent="0.3">
      <c r="A4434" s="1" t="s">
        <v>4575</v>
      </c>
      <c r="B4434" s="1" t="str">
        <f ca="1">IFERROR(__xludf.DUMMYFUNCTION("GOOGLETRANSLATE(A4434, ""en"", ""fr"")"),"Sous-dépouille")</f>
        <v>Sous-dépouille</v>
      </c>
      <c r="D4434" s="1" t="s">
        <v>4963</v>
      </c>
    </row>
    <row r="4435" spans="1:13" ht="14.25" customHeight="1" x14ac:dyDescent="0.3">
      <c r="A4435" s="1" t="s">
        <v>4576</v>
      </c>
      <c r="B4435" s="1" t="str">
        <f ca="1">IFERROR(__xludf.DUMMYFUNCTION("GOOGLETRANSLATE(A4435, ""en"", ""fr"")"),"sous-emploi")</f>
        <v>sous-emploi</v>
      </c>
      <c r="M4435" s="1" t="s">
        <v>10</v>
      </c>
    </row>
    <row r="4436" spans="1:13" ht="14.25" customHeight="1" x14ac:dyDescent="0.3">
      <c r="A4436" s="1" t="s">
        <v>4577</v>
      </c>
      <c r="B4436" s="1" t="str">
        <f ca="1">IFERROR(__xludf.DUMMYFUNCTION("GOOGLETRANSLATE(A4436, ""en"", ""fr"")"),"Sous-estimer")</f>
        <v>Sous-estimer</v>
      </c>
      <c r="D4436" s="1" t="s">
        <v>4963</v>
      </c>
    </row>
    <row r="4437" spans="1:13" ht="14.25" customHeight="1" x14ac:dyDescent="0.3">
      <c r="A4437" s="1" t="s">
        <v>4578</v>
      </c>
      <c r="B4437" s="1" t="str">
        <f ca="1">IFERROR(__xludf.DUMMYFUNCTION("GOOGLETRANSLATE(A4437, ""en"", ""fr"")"),"Sous-estimé")</f>
        <v>Sous-estimé</v>
      </c>
      <c r="D4437" s="1" t="s">
        <v>4963</v>
      </c>
    </row>
    <row r="4438" spans="1:13" ht="14.25" customHeight="1" x14ac:dyDescent="0.3">
      <c r="A4438" s="1" t="s">
        <v>4579</v>
      </c>
      <c r="B4438" s="1" t="str">
        <f ca="1">IFERROR(__xludf.DUMMYFUNCTION("GOOGLETRANSLATE(A4438, ""en"", ""fr"")"),"Sous-estimer")</f>
        <v>Sous-estimer</v>
      </c>
      <c r="D4438" s="1" t="s">
        <v>4963</v>
      </c>
    </row>
    <row r="4439" spans="1:13" ht="14.25" customHeight="1" x14ac:dyDescent="0.3">
      <c r="A4439" s="1" t="s">
        <v>4580</v>
      </c>
      <c r="B4439" s="1" t="str">
        <f ca="1">IFERROR(__xludf.DUMMYFUNCTION("GOOGLETRANSLATE(A4439, ""en"", ""fr"")"),"Sous-estimation")</f>
        <v>Sous-estimation</v>
      </c>
      <c r="D4439" s="1" t="s">
        <v>4963</v>
      </c>
    </row>
    <row r="4440" spans="1:13" ht="14.25" customHeight="1" x14ac:dyDescent="0.3">
      <c r="A4440" s="1" t="s">
        <v>4581</v>
      </c>
      <c r="B4440" s="1" t="str">
        <f ca="1">IFERROR(__xludf.DUMMYFUNCTION("GOOGLETRANSLATE(A4440, ""en"", ""fr"")"),"Sous-estimation")</f>
        <v>Sous-estimation</v>
      </c>
      <c r="D4440" s="1" t="s">
        <v>4963</v>
      </c>
    </row>
    <row r="4441" spans="1:13" ht="14.25" customHeight="1" x14ac:dyDescent="0.3">
      <c r="A4441" s="1" t="s">
        <v>4582</v>
      </c>
      <c r="B4441" s="1" t="str">
        <f ca="1">IFERROR(__xludf.DUMMYFUNCTION("GOOGLETRANSLATE(A4441, ""en"", ""fr"")"),"Sous-financé")</f>
        <v>Sous-financé</v>
      </c>
      <c r="D4441" s="1" t="s">
        <v>4963</v>
      </c>
    </row>
    <row r="4442" spans="1:13" ht="14.25" customHeight="1" x14ac:dyDescent="0.3">
      <c r="A4442" s="1" t="s">
        <v>4583</v>
      </c>
      <c r="B4442" s="1" t="str">
        <f ca="1">IFERROR(__xludf.DUMMYFUNCTION("GOOGLETRANSLATE(A4442, ""en"", ""fr"")"),"Sous-assuré")</f>
        <v>Sous-assuré</v>
      </c>
      <c r="D4442" s="1" t="s">
        <v>4963</v>
      </c>
    </row>
    <row r="4443" spans="1:13" ht="14.25" customHeight="1" x14ac:dyDescent="0.3">
      <c r="A4443" s="1" t="s">
        <v>4584</v>
      </c>
      <c r="B4443" s="1" t="str">
        <f ca="1">IFERROR(__xludf.DUMMYFUNCTION("GOOGLETRANSLATE(A4443, ""en"", ""fr"")"),"SAPER")</f>
        <v>SAPER</v>
      </c>
      <c r="D4443" s="1" t="s">
        <v>4963</v>
      </c>
    </row>
    <row r="4444" spans="1:13" ht="14.25" customHeight="1" x14ac:dyDescent="0.3">
      <c r="A4444" s="1" t="s">
        <v>4585</v>
      </c>
      <c r="B4444" s="1" t="str">
        <f ca="1">IFERROR(__xludf.DUMMYFUNCTION("GOOGLETRANSLATE(A4444, ""en"", ""fr"")"),"Miné")</f>
        <v>Miné</v>
      </c>
      <c r="D4444" s="1" t="s">
        <v>4963</v>
      </c>
    </row>
    <row r="4445" spans="1:13" ht="14.25" customHeight="1" x14ac:dyDescent="0.3">
      <c r="A4445" s="1" t="s">
        <v>4586</v>
      </c>
      <c r="B4445" s="1" t="str">
        <f ca="1">IFERROR(__xludf.DUMMYFUNCTION("GOOGLETRANSLATE(A4445, ""en"", ""fr"")"),"Saper")</f>
        <v>Saper</v>
      </c>
      <c r="D4445" s="1" t="s">
        <v>4963</v>
      </c>
    </row>
    <row r="4446" spans="1:13" ht="14.25" customHeight="1" x14ac:dyDescent="0.3">
      <c r="A4446" s="1" t="s">
        <v>4587</v>
      </c>
      <c r="B4446" s="1" t="str">
        <f ca="1">IFERROR(__xludf.DUMMYFUNCTION("GOOGLETRANSLATE(A4446, ""en"", ""fr"")"),"Mince")</f>
        <v>Mince</v>
      </c>
      <c r="D4446" s="1" t="s">
        <v>4963</v>
      </c>
    </row>
    <row r="4447" spans="1:13" ht="14.25" customHeight="1" x14ac:dyDescent="0.3">
      <c r="A4447" s="1" t="s">
        <v>4588</v>
      </c>
      <c r="B4447" s="1" t="str">
        <f ca="1">IFERROR(__xludf.DUMMYFUNCTION("GOOGLETRANSLATE(A4447, ""en"", ""fr"")"),"SOUS-PAYÉS")</f>
        <v>SOUS-PAYÉS</v>
      </c>
      <c r="D4447" s="1" t="s">
        <v>4963</v>
      </c>
    </row>
    <row r="4448" spans="1:13" ht="14.25" customHeight="1" x14ac:dyDescent="0.3">
      <c r="A4448" s="1" t="s">
        <v>4589</v>
      </c>
      <c r="B4448" s="1" t="str">
        <f ca="1">IFERROR(__xludf.DUMMYFUNCTION("GOOGLETRANSLATE(A4448, ""en"", ""fr"")"),"Sous-paiement")</f>
        <v>Sous-paiement</v>
      </c>
      <c r="D4448" s="1" t="s">
        <v>4963</v>
      </c>
    </row>
    <row r="4449" spans="1:4" ht="14.25" customHeight="1" x14ac:dyDescent="0.3">
      <c r="A4449" s="1" t="s">
        <v>4590</v>
      </c>
      <c r="B4449" s="1" t="str">
        <f ca="1">IFERROR(__xludf.DUMMYFUNCTION("GOOGLETRANSLATE(A4449, ""en"", ""fr"")"),"Sous-paiements")</f>
        <v>Sous-paiements</v>
      </c>
      <c r="D4449" s="1" t="s">
        <v>4963</v>
      </c>
    </row>
    <row r="4450" spans="1:4" ht="14.25" customHeight="1" x14ac:dyDescent="0.3">
      <c r="A4450" s="1" t="s">
        <v>4591</v>
      </c>
      <c r="B4450" s="1" t="str">
        <f ca="1">IFERROR(__xludf.DUMMYFUNCTION("GOOGLETRANSLATE(A4450, ""en"", ""fr"")"),"Sous-payés")</f>
        <v>Sous-payés</v>
      </c>
      <c r="D4450" s="1" t="s">
        <v>4963</v>
      </c>
    </row>
    <row r="4451" spans="1:4" ht="14.25" customHeight="1" x14ac:dyDescent="0.3">
      <c r="A4451" s="1" t="s">
        <v>4592</v>
      </c>
      <c r="B4451" s="1" t="str">
        <f ca="1">IFERROR(__xludf.DUMMYFUNCTION("GOOGLETRANSLATE(A4451, ""en"", ""fr"")"),"Sous-performer")</f>
        <v>Sous-performer</v>
      </c>
      <c r="D4451" s="1" t="s">
        <v>4963</v>
      </c>
    </row>
    <row r="4452" spans="1:4" ht="14.25" customHeight="1" x14ac:dyDescent="0.3">
      <c r="A4452" s="1" t="s">
        <v>4593</v>
      </c>
      <c r="B4452" s="1" t="str">
        <f ca="1">IFERROR(__xludf.DUMMYFUNCTION("GOOGLETRANSLATE(A4452, ""en"", ""fr"")"),"Sous-performance")</f>
        <v>Sous-performance</v>
      </c>
      <c r="D4452" s="1" t="s">
        <v>4963</v>
      </c>
    </row>
    <row r="4453" spans="1:4" ht="14.25" customHeight="1" x14ac:dyDescent="0.3">
      <c r="A4453" s="1" t="s">
        <v>4594</v>
      </c>
      <c r="B4453" s="1" t="str">
        <f ca="1">IFERROR(__xludf.DUMMYFUNCTION("GOOGLETRANSLATE(A4453, ""en"", ""fr"")"),"Sous-performé")</f>
        <v>Sous-performé</v>
      </c>
      <c r="D4453" s="1" t="s">
        <v>4963</v>
      </c>
    </row>
    <row r="4454" spans="1:4" ht="14.25" customHeight="1" x14ac:dyDescent="0.3">
      <c r="A4454" s="1" t="s">
        <v>4595</v>
      </c>
      <c r="B4454" s="1" t="str">
        <f ca="1">IFERROR(__xludf.DUMMYFUNCTION("GOOGLETRANSLATE(A4454, ""en"", ""fr"")"),"Sous-performant")</f>
        <v>Sous-performant</v>
      </c>
      <c r="D4454" s="1" t="s">
        <v>4963</v>
      </c>
    </row>
    <row r="4455" spans="1:4" ht="14.25" customHeight="1" x14ac:dyDescent="0.3">
      <c r="A4455" s="1" t="s">
        <v>4596</v>
      </c>
      <c r="B4455" s="1" t="str">
        <f ca="1">IFERROR(__xludf.DUMMYFUNCTION("GOOGLETRANSLATE(A4455, ""en"", ""fr"")"),"Sous-produit")</f>
        <v>Sous-produit</v>
      </c>
      <c r="D4455" s="1" t="s">
        <v>4963</v>
      </c>
    </row>
    <row r="4456" spans="1:4" ht="14.25" customHeight="1" x14ac:dyDescent="0.3">
      <c r="A4456" s="1" t="s">
        <v>4597</v>
      </c>
      <c r="B4456" s="1" t="str">
        <f ca="1">IFERROR(__xludf.DUMMYFUNCTION("GOOGLETRANSLATE(A4456, ""en"", ""fr"")"),"Sous-production")</f>
        <v>Sous-production</v>
      </c>
      <c r="D4456" s="1" t="s">
        <v>4963</v>
      </c>
    </row>
    <row r="4457" spans="1:4" ht="14.25" customHeight="1" x14ac:dyDescent="0.3">
      <c r="A4457" s="1" t="s">
        <v>4598</v>
      </c>
      <c r="B4457" s="1" t="str">
        <f ca="1">IFERROR(__xludf.DUMMYFUNCTION("GOOGLETRANSLATE(A4457, ""en"", ""fr"")"),"Sous-estimation")</f>
        <v>Sous-estimation</v>
      </c>
      <c r="D4457" s="1" t="s">
        <v>4963</v>
      </c>
    </row>
    <row r="4458" spans="1:4" ht="14.25" customHeight="1" x14ac:dyDescent="0.3">
      <c r="A4458" s="1" t="s">
        <v>4599</v>
      </c>
      <c r="B4458" s="1" t="str">
        <f ca="1">IFERROR(__xludf.DUMMYFUNCTION("GOOGLETRANSLATE(A4458, ""en"", ""fr"")"),"MINIMISER")</f>
        <v>MINIMISER</v>
      </c>
      <c r="D4458" s="1" t="s">
        <v>4963</v>
      </c>
    </row>
    <row r="4459" spans="1:4" ht="14.25" customHeight="1" x14ac:dyDescent="0.3">
      <c r="A4459" s="1" t="s">
        <v>4600</v>
      </c>
      <c r="B4459" s="1" t="str">
        <f ca="1">IFERROR(__xludf.DUMMYFUNCTION("GOOGLETRANSLATE(A4459, ""en"", ""fr"")"),"Sous-estimé")</f>
        <v>Sous-estimé</v>
      </c>
      <c r="D4459" s="1" t="s">
        <v>4963</v>
      </c>
    </row>
    <row r="4460" spans="1:4" ht="14.25" customHeight="1" x14ac:dyDescent="0.3">
      <c r="A4460" s="1" t="s">
        <v>4601</v>
      </c>
      <c r="B4460" s="1" t="str">
        <f ca="1">IFERROR(__xludf.DUMMYFUNCTION("GOOGLETRANSLATE(A4460, ""en"", ""fr"")"),"EUPHÉMISME")</f>
        <v>EUPHÉMISME</v>
      </c>
      <c r="D4460" s="1" t="s">
        <v>4963</v>
      </c>
    </row>
    <row r="4461" spans="1:4" ht="14.25" customHeight="1" x14ac:dyDescent="0.3">
      <c r="A4461" s="1" t="s">
        <v>4602</v>
      </c>
      <c r="B4461" s="1" t="str">
        <f ca="1">IFERROR(__xludf.DUMMYFUNCTION("GOOGLETRANSLATE(A4461, ""en"", ""fr"")"),"Sous-traitants")</f>
        <v>Sous-traitants</v>
      </c>
      <c r="D4461" s="1" t="s">
        <v>4963</v>
      </c>
    </row>
    <row r="4462" spans="1:4" ht="14.25" customHeight="1" x14ac:dyDescent="0.3">
      <c r="A4462" s="1" t="s">
        <v>4603</v>
      </c>
      <c r="B4462" s="1" t="str">
        <f ca="1">IFERROR(__xludf.DUMMYFUNCTION("GOOGLETRANSLATE(A4462, ""en"", ""fr"")"),"Sous-estime")</f>
        <v>Sous-estime</v>
      </c>
      <c r="D4462" s="1" t="s">
        <v>4963</v>
      </c>
    </row>
    <row r="4463" spans="1:4" ht="14.25" customHeight="1" x14ac:dyDescent="0.3">
      <c r="A4463" s="1" t="s">
        <v>4604</v>
      </c>
      <c r="B4463" s="1" t="str">
        <f ca="1">IFERROR(__xludf.DUMMYFUNCTION("GOOGLETRANSLATE(A4463, ""en"", ""fr"")"),"Sous-estimant")</f>
        <v>Sous-estimant</v>
      </c>
      <c r="D4463" s="1" t="s">
        <v>4963</v>
      </c>
    </row>
    <row r="4464" spans="1:4" ht="14.25" customHeight="1" x14ac:dyDescent="0.3">
      <c r="A4464" s="1" t="s">
        <v>4605</v>
      </c>
      <c r="B4464" s="1" t="str">
        <f ca="1">IFERROR(__xludf.DUMMYFUNCTION("GOOGLETRANSLATE(A4464, ""en"", ""fr"")"),"Sous-utilisation")</f>
        <v>Sous-utilisation</v>
      </c>
      <c r="D4464" s="1" t="s">
        <v>4963</v>
      </c>
    </row>
    <row r="4465" spans="1:13" ht="14.25" customHeight="1" x14ac:dyDescent="0.3">
      <c r="A4465" s="1" t="s">
        <v>4606</v>
      </c>
      <c r="B4465" s="1" t="str">
        <f ca="1">IFERROR(__xludf.DUMMYFUNCTION("GOOGLETRANSLATE(A4465, ""en"", ""fr"")"),"Sous-utilisé")</f>
        <v>Sous-utilisé</v>
      </c>
      <c r="D4465" s="1" t="s">
        <v>4963</v>
      </c>
    </row>
    <row r="4466" spans="1:13" ht="14.25" customHeight="1" x14ac:dyDescent="0.3">
      <c r="A4466" s="1" t="s">
        <v>4607</v>
      </c>
      <c r="B4466" s="1" t="str">
        <f ca="1">IFERROR(__xludf.DUMMYFUNCTION("GOOGLETRANSLATE(A4466, ""en"", ""fr"")"),"sous-évalué")</f>
        <v>sous-évalué</v>
      </c>
      <c r="M4466" s="1" t="s">
        <v>10</v>
      </c>
    </row>
    <row r="4467" spans="1:13" ht="14.25" customHeight="1" x14ac:dyDescent="0.3">
      <c r="A4467" s="1" t="s">
        <v>4608</v>
      </c>
      <c r="B4467" s="1" t="str">
        <f ca="1">IFERROR(__xludf.DUMMYFUNCTION("GOOGLETRANSLATE(A4467, ""en"", ""fr"")"),"INDÉSIRABLE")</f>
        <v>INDÉSIRABLE</v>
      </c>
      <c r="D4467" s="1" t="s">
        <v>4963</v>
      </c>
    </row>
    <row r="4468" spans="1:13" ht="14.25" customHeight="1" x14ac:dyDescent="0.3">
      <c r="A4468" s="1" t="s">
        <v>4609</v>
      </c>
      <c r="B4468" s="1" t="str">
        <f ca="1">IFERROR(__xludf.DUMMYFUNCTION("GOOGLETRANSLATE(A4468, ""en"", ""fr"")"),"Indésirable")</f>
        <v>Indésirable</v>
      </c>
      <c r="D4468" s="1" t="s">
        <v>4963</v>
      </c>
    </row>
    <row r="4469" spans="1:13" ht="14.25" customHeight="1" x14ac:dyDescent="0.3">
      <c r="A4469" s="1" t="s">
        <v>4610</v>
      </c>
      <c r="B4469" s="1" t="str">
        <f ca="1">IFERROR(__xludf.DUMMYFUNCTION("GOOGLETRANSLATE(A4469, ""en"", ""fr"")"),"Non détecté")</f>
        <v>Non détecté</v>
      </c>
      <c r="D4469" s="1" t="s">
        <v>4963</v>
      </c>
    </row>
    <row r="4470" spans="1:13" ht="14.25" customHeight="1" x14ac:dyDescent="0.3">
      <c r="A4470" s="1" t="s">
        <v>4611</v>
      </c>
      <c r="B4470" s="1" t="str">
        <f ca="1">IFERROR(__xludf.DUMMYFUNCTION("GOOGLETRANSLATE(A4470, ""en"", ""fr"")"),"INDÉTERMINÉ")</f>
        <v>INDÉTERMINÉ</v>
      </c>
      <c r="D4470" s="1" t="s">
        <v>4963</v>
      </c>
    </row>
    <row r="4471" spans="1:13" ht="14.25" customHeight="1" x14ac:dyDescent="0.3">
      <c r="A4471" s="1" t="s">
        <v>4612</v>
      </c>
      <c r="B4471" s="1" t="str">
        <f ca="1">IFERROR(__xludf.DUMMYFUNCTION("GOOGLETRANSLATE(A4471, ""en"", ""fr"")"),"NON DÉVOILÉ")</f>
        <v>NON DÉVOILÉ</v>
      </c>
      <c r="D4471" s="1" t="s">
        <v>4963</v>
      </c>
    </row>
    <row r="4472" spans="1:13" ht="14.25" customHeight="1" x14ac:dyDescent="0.3">
      <c r="A4472" s="1" t="s">
        <v>4613</v>
      </c>
      <c r="B4472" s="1" t="str">
        <f ca="1">IFERROR(__xludf.DUMMYFUNCTION("GOOGLETRANSLATE(A4472, ""en"", ""fr"")"),"Risque dévoué")</f>
        <v>Risque dévoué</v>
      </c>
      <c r="M4472" s="1" t="s">
        <v>10</v>
      </c>
    </row>
    <row r="4473" spans="1:13" ht="14.25" customHeight="1" x14ac:dyDescent="0.3">
      <c r="A4473" s="1" t="s">
        <v>4614</v>
      </c>
      <c r="B4473" s="1" t="str">
        <f ca="1">IFERROR(__xludf.DUMMYFUNCTION("GOOGLETRANSLATE(A4473, ""en"", ""fr"")"),"SANS PAPIERS")</f>
        <v>SANS PAPIERS</v>
      </c>
      <c r="D4473" s="1" t="s">
        <v>4963</v>
      </c>
    </row>
    <row r="4474" spans="1:13" ht="14.25" customHeight="1" x14ac:dyDescent="0.3">
      <c r="A4474" s="1" t="s">
        <v>4615</v>
      </c>
      <c r="B4474" s="1" t="str">
        <f ca="1">IFERROR(__xludf.DUMMYFUNCTION("GOOGLETRANSLATE(A4474, ""en"", ""fr"")"),"INDU")</f>
        <v>INDU</v>
      </c>
      <c r="D4474" s="1" t="s">
        <v>4963</v>
      </c>
    </row>
    <row r="4475" spans="1:13" ht="14.25" customHeight="1" x14ac:dyDescent="0.3">
      <c r="A4475" s="1" t="s">
        <v>4616</v>
      </c>
      <c r="B4475" s="1" t="str">
        <f ca="1">IFERROR(__xludf.DUMMYFUNCTION("GOOGLETRANSLATE(A4475, ""en"", ""fr"")"),"TROP")</f>
        <v>TROP</v>
      </c>
      <c r="D4475" s="1" t="s">
        <v>4963</v>
      </c>
    </row>
    <row r="4476" spans="1:13" ht="14.25" customHeight="1" x14ac:dyDescent="0.3">
      <c r="A4476" s="1" t="s">
        <v>4617</v>
      </c>
      <c r="B4476" s="1" t="str">
        <f ca="1">IFERROR(__xludf.DUMMYFUNCTION("GOOGLETRANSLATE(A4476, ""en"", ""fr"")"),"Peu rentable")</f>
        <v>Peu rentable</v>
      </c>
      <c r="D4476" s="1" t="s">
        <v>4963</v>
      </c>
    </row>
    <row r="4477" spans="1:13" ht="14.25" customHeight="1" x14ac:dyDescent="0.3">
      <c r="A4477" s="1" t="s">
        <v>4618</v>
      </c>
      <c r="B4477" s="1" t="str">
        <f ca="1">IFERROR(__xludf.DUMMYFUNCTION("GOOGLETRANSLATE(A4477, ""en"", ""fr"")"),"PEU RENTABLE")</f>
        <v>PEU RENTABLE</v>
      </c>
      <c r="D4477" s="1" t="s">
        <v>4963</v>
      </c>
    </row>
    <row r="4478" spans="1:13" ht="14.25" customHeight="1" x14ac:dyDescent="0.3">
      <c r="A4478" s="1" t="s">
        <v>4619</v>
      </c>
      <c r="B4478" s="1" t="str">
        <f ca="1">IFERROR(__xludf.DUMMYFUNCTION("GOOGLETRANSLATE(A4478, ""en"", ""fr"")"),"Sans économie")</f>
        <v>Sans économie</v>
      </c>
      <c r="D4478" s="1" t="s">
        <v>4963</v>
      </c>
    </row>
    <row r="4479" spans="1:13" ht="14.25" customHeight="1" x14ac:dyDescent="0.3">
      <c r="A4479" s="1" t="s">
        <v>4620</v>
      </c>
      <c r="B4479" s="1" t="str">
        <f ca="1">IFERROR(__xludf.DUMMYFUNCTION("GOOGLETRANSLATE(A4479, ""en"", ""fr"")"),"sans emploi")</f>
        <v>sans emploi</v>
      </c>
      <c r="M4479" s="1" t="s">
        <v>10</v>
      </c>
    </row>
    <row r="4480" spans="1:13" ht="14.25" customHeight="1" x14ac:dyDescent="0.3">
      <c r="A4480" s="1" t="s">
        <v>4621</v>
      </c>
      <c r="B4480" s="1" t="str">
        <f ca="1">IFERROR(__xludf.DUMMYFUNCTION("GOOGLETRANSLATE(A4480, ""en"", ""fr"")"),"chômage")</f>
        <v>chômage</v>
      </c>
      <c r="M4480" s="1" t="s">
        <v>10</v>
      </c>
    </row>
    <row r="4481" spans="1:13" ht="14.25" customHeight="1" x14ac:dyDescent="0.3">
      <c r="A4481" s="1" t="s">
        <v>4622</v>
      </c>
      <c r="B4481" s="1" t="str">
        <f ca="1">IFERROR(__xludf.DUMMYFUNCTION("GOOGLETRANSLATE(A4481, ""en"", ""fr"")"),"taux de chômage")</f>
        <v>taux de chômage</v>
      </c>
      <c r="M4481" s="1" t="s">
        <v>10</v>
      </c>
    </row>
    <row r="4482" spans="1:13" ht="14.25" customHeight="1" x14ac:dyDescent="0.3">
      <c r="A4482" s="1" t="s">
        <v>4623</v>
      </c>
      <c r="B4482" s="1" t="str">
        <f ca="1">IFERROR(__xludf.DUMMYFUNCTION("GOOGLETRANSLATE(A4482, ""en"", ""fr"")"),"IMMORAL")</f>
        <v>IMMORAL</v>
      </c>
      <c r="D4482" s="1" t="s">
        <v>4963</v>
      </c>
    </row>
    <row r="4483" spans="1:13" ht="14.25" customHeight="1" x14ac:dyDescent="0.3">
      <c r="A4483" s="1" t="s">
        <v>4624</v>
      </c>
      <c r="B4483" s="1" t="str">
        <f ca="1">IFERROR(__xludf.DUMMYFUNCTION("GOOGLETRANSLATE(A4483, ""en"", ""fr"")"),"De manière contraire")</f>
        <v>De manière contraire</v>
      </c>
      <c r="D4483" s="1" t="s">
        <v>4963</v>
      </c>
    </row>
    <row r="4484" spans="1:13" ht="14.25" customHeight="1" x14ac:dyDescent="0.3">
      <c r="A4484" s="1" t="s">
        <v>4625</v>
      </c>
      <c r="B4484" s="1" t="str">
        <f ca="1">IFERROR(__xludf.DUMMYFUNCTION("GOOGLETRANSLATE(A4484, ""en"", ""fr"")"),"Non excusé")</f>
        <v>Non excusé</v>
      </c>
      <c r="D4484" s="1" t="s">
        <v>4963</v>
      </c>
    </row>
    <row r="4485" spans="1:13" ht="14.25" customHeight="1" x14ac:dyDescent="0.3">
      <c r="A4485" s="1" t="s">
        <v>4626</v>
      </c>
      <c r="B4485" s="1" t="str">
        <f ca="1">IFERROR(__xludf.DUMMYFUNCTION("GOOGLETRANSLATE(A4485, ""en"", ""fr"")"),"INATTENDU")</f>
        <v>INATTENDU</v>
      </c>
      <c r="D4485" s="1" t="s">
        <v>4963</v>
      </c>
    </row>
    <row r="4486" spans="1:13" ht="14.25" customHeight="1" x14ac:dyDescent="0.3">
      <c r="A4486" s="1" t="s">
        <v>4627</v>
      </c>
      <c r="B4486" s="1" t="str">
        <f ca="1">IFERROR(__xludf.DUMMYFUNCTION("GOOGLETRANSLATE(A4486, ""en"", ""fr"")"),"De façon inattendue")</f>
        <v>De façon inattendue</v>
      </c>
      <c r="D4486" s="1" t="s">
        <v>4963</v>
      </c>
    </row>
    <row r="4487" spans="1:13" ht="14.25" customHeight="1" x14ac:dyDescent="0.3">
      <c r="A4487" s="1" t="s">
        <v>4628</v>
      </c>
      <c r="B4487" s="1" t="str">
        <f ca="1">IFERROR(__xludf.DUMMYFUNCTION("GOOGLETRANSLATE(A4487, ""en"", ""fr"")"),"INJUSTE")</f>
        <v>INJUSTE</v>
      </c>
      <c r="D4487" s="1" t="s">
        <v>4963</v>
      </c>
    </row>
    <row r="4488" spans="1:13" ht="14.25" customHeight="1" x14ac:dyDescent="0.3">
      <c r="A4488" s="1" t="s">
        <v>4629</v>
      </c>
      <c r="B4488" s="1" t="str">
        <f ca="1">IFERROR(__xludf.DUMMYFUNCTION("GOOGLETRANSLATE(A4488, ""en"", ""fr"")"),"INJUSTEMENT")</f>
        <v>INJUSTEMENT</v>
      </c>
      <c r="D4488" s="1" t="s">
        <v>4963</v>
      </c>
    </row>
    <row r="4489" spans="1:13" ht="14.25" customHeight="1" x14ac:dyDescent="0.3">
      <c r="A4489" s="1" t="s">
        <v>4630</v>
      </c>
      <c r="B4489" s="1" t="str">
        <f ca="1">IFERROR(__xludf.DUMMYFUNCTION("GOOGLETRANSLATE(A4489, ""en"", ""fr"")"),"DÉFAVORABLE")</f>
        <v>DÉFAVORABLE</v>
      </c>
      <c r="D4489" s="1" t="s">
        <v>4963</v>
      </c>
    </row>
    <row r="4490" spans="1:13" ht="14.25" customHeight="1" x14ac:dyDescent="0.3">
      <c r="A4490" s="1" t="s">
        <v>4631</v>
      </c>
      <c r="B4490" s="1" t="str">
        <f ca="1">IFERROR(__xludf.DUMMYFUNCTION("GOOGLETRANSLATE(A4490, ""en"", ""fr"")"),"Défavorablement")</f>
        <v>Défavorablement</v>
      </c>
      <c r="D4490" s="1" t="s">
        <v>4963</v>
      </c>
    </row>
    <row r="4491" spans="1:13" ht="14.25" customHeight="1" x14ac:dyDescent="0.3">
      <c r="A4491" s="1" t="s">
        <v>4632</v>
      </c>
      <c r="B4491" s="1" t="str">
        <f ca="1">IFERROR(__xludf.DUMMYFUNCTION("GOOGLETRANSLATE(A4491, ""en"", ""fr"")"),"DÉFAVORABLE")</f>
        <v>DÉFAVORABLE</v>
      </c>
      <c r="D4491" s="1" t="s">
        <v>4963</v>
      </c>
    </row>
    <row r="4492" spans="1:13" ht="14.25" customHeight="1" x14ac:dyDescent="0.3">
      <c r="A4492" s="1" t="s">
        <v>4633</v>
      </c>
      <c r="B4492" s="1" t="str">
        <f ca="1">IFERROR(__xludf.DUMMYFUNCTION("GOOGLETRANSLATE(A4492, ""en"", ""fr"")"),"IMPRATICABLE")</f>
        <v>IMPRATICABLE</v>
      </c>
      <c r="D4492" s="1" t="s">
        <v>4963</v>
      </c>
    </row>
    <row r="4493" spans="1:13" ht="14.25" customHeight="1" x14ac:dyDescent="0.3">
      <c r="A4493" s="1" t="s">
        <v>4634</v>
      </c>
      <c r="B4493" s="1" t="str">
        <f ca="1">IFERROR(__xludf.DUMMYFUNCTION("GOOGLETRANSLATE(A4493, ""en"", ""fr"")"),"INAPTE")</f>
        <v>INAPTE</v>
      </c>
      <c r="D4493" s="1" t="s">
        <v>4963</v>
      </c>
    </row>
    <row r="4494" spans="1:13" ht="14.25" customHeight="1" x14ac:dyDescent="0.3">
      <c r="A4494" s="1" t="s">
        <v>4635</v>
      </c>
      <c r="B4494" s="1" t="str">
        <f ca="1">IFERROR(__xludf.DUMMYFUNCTION("GOOGLETRANSLATE(A4494, ""en"", ""fr"")"),"INAPTITUDE")</f>
        <v>INAPTITUDE</v>
      </c>
      <c r="D4494" s="1" t="s">
        <v>4963</v>
      </c>
    </row>
    <row r="4495" spans="1:13" ht="14.25" customHeight="1" x14ac:dyDescent="0.3">
      <c r="A4495" s="1" t="s">
        <v>4636</v>
      </c>
      <c r="B4495" s="1" t="str">
        <f ca="1">IFERROR(__xludf.DUMMYFUNCTION("GOOGLETRANSLATE(A4495, ""en"", ""fr"")"),"Imprévisible")</f>
        <v>Imprévisible</v>
      </c>
      <c r="D4495" s="1" t="s">
        <v>4963</v>
      </c>
    </row>
    <row r="4496" spans="1:13" ht="14.25" customHeight="1" x14ac:dyDescent="0.3">
      <c r="A4496" s="1" t="s">
        <v>4637</v>
      </c>
      <c r="B4496" s="1" t="str">
        <f ca="1">IFERROR(__xludf.DUMMYFUNCTION("GOOGLETRANSLATE(A4496, ""en"", ""fr"")"),"IMPRÉVU")</f>
        <v>IMPRÉVU</v>
      </c>
      <c r="D4496" s="1" t="s">
        <v>4963</v>
      </c>
    </row>
    <row r="4497" spans="1:141" ht="14.25" customHeight="1" x14ac:dyDescent="0.3">
      <c r="A4497" s="1" t="s">
        <v>4638</v>
      </c>
      <c r="B4497" s="1" t="str">
        <f ca="1">IFERROR(__xludf.DUMMYFUNCTION("GOOGLETRANSLATE(A4497, ""en"", ""fr"")"),"Improvisé")</f>
        <v>Improvisé</v>
      </c>
      <c r="D4497" s="1" t="s">
        <v>4963</v>
      </c>
    </row>
    <row r="4498" spans="1:141" ht="14.25" customHeight="1" x14ac:dyDescent="0.3">
      <c r="A4498" s="1" t="s">
        <v>4639</v>
      </c>
      <c r="B4498" s="1" t="str">
        <f ca="1">IFERROR(__xludf.DUMMYFUNCTION("GOOGLETRANSLATE(A4498, ""en"", ""fr"")"),"MALHEUREUX")</f>
        <v>MALHEUREUX</v>
      </c>
      <c r="D4498" s="1" t="s">
        <v>4963</v>
      </c>
    </row>
    <row r="4499" spans="1:141" ht="14.25" customHeight="1" x14ac:dyDescent="0.3">
      <c r="A4499" s="1" t="s">
        <v>4640</v>
      </c>
      <c r="B4499" s="1" t="str">
        <f ca="1">IFERROR(__xludf.DUMMYFUNCTION("GOOGLETRANSLATE(A4499, ""en"", ""fr"")"),"MALHEUREUSEMENT")</f>
        <v>MALHEUREUSEMENT</v>
      </c>
      <c r="D4499" s="1" t="s">
        <v>4963</v>
      </c>
    </row>
    <row r="4500" spans="1:141" ht="14.25" customHeight="1" x14ac:dyDescent="0.3">
      <c r="A4500" s="1" t="s">
        <v>4641</v>
      </c>
      <c r="B4500" s="1" t="str">
        <f ca="1">IFERROR(__xludf.DUMMYFUNCTION("GOOGLETRANSLATE(A4500, ""en"", ""fr"")"),"SANS FONDEMENT")</f>
        <v>SANS FONDEMENT</v>
      </c>
      <c r="D4500" s="1" t="s">
        <v>4963</v>
      </c>
    </row>
    <row r="4501" spans="1:141" ht="14.25" customHeight="1" x14ac:dyDescent="0.3">
      <c r="A4501" s="1" t="s">
        <v>4642</v>
      </c>
      <c r="B4501" s="1" t="str">
        <f ca="1">IFERROR(__xludf.DUMMYFUNCTION("GOOGLETRANSLATE(A4501, ""en"", ""fr"")"),"HOSTILE")</f>
        <v>HOSTILE</v>
      </c>
      <c r="D4501" s="1" t="s">
        <v>4963</v>
      </c>
    </row>
    <row r="4502" spans="1:141" ht="14.25" customHeight="1" x14ac:dyDescent="0.3">
      <c r="A4502" s="1" t="s">
        <v>4643</v>
      </c>
      <c r="B4502" s="1" t="str">
        <f ca="1">IFERROR(__xludf.DUMMYFUNCTION("GOOGLETRANSLATE(A4502, ""en"", ""fr"")"),"Insatisfait")</f>
        <v>Insatisfait</v>
      </c>
      <c r="D4502" s="1" t="s">
        <v>4963</v>
      </c>
    </row>
    <row r="4503" spans="1:141" ht="14.25" customHeight="1" x14ac:dyDescent="0.3">
      <c r="A4503" s="1" t="s">
        <v>4644</v>
      </c>
      <c r="B4503" s="1" t="str">
        <f ca="1">IFERROR(__xludf.DUMMYFUNCTION("GOOGLETRANSLATE(A4503, ""en"", ""fr"")"),"Non financé")</f>
        <v>Non financé</v>
      </c>
      <c r="D4503" s="1" t="s">
        <v>4963</v>
      </c>
    </row>
    <row r="4504" spans="1:141" ht="14.25" customHeight="1" x14ac:dyDescent="0.3">
      <c r="A4504" s="1" t="s">
        <v>4645</v>
      </c>
      <c r="B4504" s="1" t="str">
        <f ca="1">IFERROR(__xludf.DUMMYFUNCTION("GOOGLETRANSLATE(A4504, ""en"", ""fr"")"),"Non assuré")</f>
        <v>Non assuré</v>
      </c>
      <c r="D4504" s="1" t="s">
        <v>4963</v>
      </c>
    </row>
    <row r="4505" spans="1:141" ht="14.25" customHeight="1" x14ac:dyDescent="0.3">
      <c r="A4505" s="1" t="s">
        <v>4646</v>
      </c>
      <c r="B4505" s="1" t="str">
        <f ca="1">IFERROR(__xludf.DUMMYFUNCTION("GOOGLETRANSLATE(A4505, ""en"", ""fr"")"),"Involontaire")</f>
        <v>Involontaire</v>
      </c>
      <c r="D4505" s="1" t="s">
        <v>4963</v>
      </c>
    </row>
    <row r="4506" spans="1:141" ht="14.25" customHeight="1" x14ac:dyDescent="0.3">
      <c r="A4506" s="1" t="s">
        <v>4647</v>
      </c>
      <c r="B4506" s="1" t="str">
        <f ca="1">IFERROR(__xludf.DUMMYFUNCTION("GOOGLETRANSLATE(A4506, ""en"", ""fr"")"),"INVOLONTAIRE")</f>
        <v>INVOLONTAIRE</v>
      </c>
      <c r="D4506" s="1" t="s">
        <v>4963</v>
      </c>
    </row>
    <row r="4507" spans="1:141" ht="14.25" customHeight="1" x14ac:dyDescent="0.3">
      <c r="A4507" s="1" t="s">
        <v>4648</v>
      </c>
      <c r="B4507" s="1" t="str">
        <f ca="1">IFERROR(__xludf.DUMMYFUNCTION("GOOGLETRANSLATE(A4507, ""en"", ""fr"")"),"INVOLONTAIREMENT")</f>
        <v>INVOLONTAIREMENT</v>
      </c>
      <c r="D4507" s="1" t="s">
        <v>4963</v>
      </c>
    </row>
    <row r="4508" spans="1:141" ht="14.25" customHeight="1" x14ac:dyDescent="0.3">
      <c r="A4508" s="1" t="s">
        <v>4649</v>
      </c>
      <c r="B4508" s="1" t="str">
        <f ca="1">IFERROR(__xludf.DUMMYFUNCTION("GOOGLETRANSLATE(A4508, ""en"", ""fr"")"),"Royaume-Uni")</f>
        <v>Royaume-Uni</v>
      </c>
      <c r="Z4508" s="1" t="s">
        <v>23</v>
      </c>
      <c r="AR4508" s="1" t="s">
        <v>41</v>
      </c>
      <c r="EK4508" s="1" t="s">
        <v>138</v>
      </c>
    </row>
    <row r="4509" spans="1:141" ht="14.25" customHeight="1" x14ac:dyDescent="0.3">
      <c r="A4509" s="1" t="s">
        <v>4650</v>
      </c>
      <c r="B4509" s="1" t="str">
        <f ca="1">IFERROR(__xludf.DUMMYFUNCTION("GOOGLETRANSLATE(A4509, ""en"", ""fr"")"),"États-Unis")</f>
        <v>États-Unis</v>
      </c>
      <c r="AR4509" s="1" t="s">
        <v>41</v>
      </c>
      <c r="BI4509" s="1" t="s">
        <v>58</v>
      </c>
      <c r="EK4509" s="1" t="s">
        <v>138</v>
      </c>
    </row>
    <row r="4510" spans="1:141" ht="14.25" customHeight="1" x14ac:dyDescent="0.3">
      <c r="A4510" s="1" t="s">
        <v>4651</v>
      </c>
      <c r="B4510" s="1" t="str">
        <f ca="1">IFERROR(__xludf.DUMMYFUNCTION("GOOGLETRANSLATE(A4510, ""en"", ""fr"")"),"Enquête de l'Université du Michigan sur les consommateurs")</f>
        <v>Enquête de l'Université du Michigan sur les consommateurs</v>
      </c>
      <c r="M4510" s="1" t="s">
        <v>10</v>
      </c>
    </row>
    <row r="4511" spans="1:141" ht="14.25" customHeight="1" x14ac:dyDescent="0.3">
      <c r="A4511" s="1" t="s">
        <v>4652</v>
      </c>
      <c r="B4511" s="1" t="str">
        <f ca="1">IFERROR(__xludf.DUMMYFUNCTION("GOOGLETRANSLATE(A4511, ""en"", ""fr"")"),"INJUSTE")</f>
        <v>INJUSTE</v>
      </c>
      <c r="D4511" s="1" t="s">
        <v>4963</v>
      </c>
    </row>
    <row r="4512" spans="1:141" ht="14.25" customHeight="1" x14ac:dyDescent="0.3">
      <c r="A4512" s="1" t="s">
        <v>4653</v>
      </c>
      <c r="B4512" s="1" t="str">
        <f ca="1">IFERROR(__xludf.DUMMYFUNCTION("GOOGLETRANSLATE(A4512, ""en"", ""fr"")"),"INJUSTIFIABLE")</f>
        <v>INJUSTIFIABLE</v>
      </c>
      <c r="D4512" s="1" t="s">
        <v>4963</v>
      </c>
    </row>
    <row r="4513" spans="1:10" ht="14.25" customHeight="1" x14ac:dyDescent="0.3">
      <c r="A4513" s="1" t="s">
        <v>4654</v>
      </c>
      <c r="B4513" s="1" t="str">
        <f ca="1">IFERROR(__xludf.DUMMYFUNCTION("GOOGLETRANSLATE(A4513, ""en"", ""fr"")"),"Injustifiée")</f>
        <v>Injustifiée</v>
      </c>
      <c r="D4513" s="1" t="s">
        <v>4963</v>
      </c>
    </row>
    <row r="4514" spans="1:10" ht="14.25" customHeight="1" x14ac:dyDescent="0.3">
      <c r="A4514" s="1" t="s">
        <v>4655</v>
      </c>
      <c r="B4514" s="1" t="str">
        <f ca="1">IFERROR(__xludf.DUMMYFUNCTION("GOOGLETRANSLATE(A4514, ""en"", ""fr"")"),"INJUSTIFIÉ")</f>
        <v>INJUSTIFIÉ</v>
      </c>
      <c r="D4514" s="1" t="s">
        <v>4963</v>
      </c>
    </row>
    <row r="4515" spans="1:10" ht="14.25" customHeight="1" x14ac:dyDescent="0.3">
      <c r="A4515" s="1" t="s">
        <v>4656</v>
      </c>
      <c r="B4515" s="1" t="str">
        <f ca="1">IFERROR(__xludf.DUMMYFUNCTION("GOOGLETRANSLATE(A4515, ""en"", ""fr"")"),"Injustement")</f>
        <v>Injustement</v>
      </c>
      <c r="D4515" s="1" t="s">
        <v>4963</v>
      </c>
    </row>
    <row r="4516" spans="1:10" ht="14.25" customHeight="1" x14ac:dyDescent="0.3">
      <c r="A4516" s="1" t="s">
        <v>4657</v>
      </c>
      <c r="B4516" s="1" t="str">
        <f ca="1">IFERROR(__xludf.DUMMYFUNCTION("GOOGLETRANSLATE(A4516, ""en"", ""fr"")"),"Inconscient")</f>
        <v>Inconscient</v>
      </c>
      <c r="D4516" s="1" t="s">
        <v>4963</v>
      </c>
    </row>
    <row r="4517" spans="1:10" ht="14.25" customHeight="1" x14ac:dyDescent="0.3">
      <c r="A4517" s="1" t="s">
        <v>4658</v>
      </c>
      <c r="B4517" s="1" t="str">
        <f ca="1">IFERROR(__xludf.DUMMYFUNCTION("GOOGLETRANSLATE(A4517, ""en"", ""fr"")"),"Sans le savoir")</f>
        <v>Sans le savoir</v>
      </c>
      <c r="D4517" s="1" t="s">
        <v>4963</v>
      </c>
    </row>
    <row r="4518" spans="1:10" ht="14.25" customHeight="1" x14ac:dyDescent="0.3">
      <c r="A4518" s="1" t="s">
        <v>4659</v>
      </c>
      <c r="B4518" s="1" t="str">
        <f ca="1">IFERROR(__xludf.DUMMYFUNCTION("GOOGLETRANSLATE(A4518, ""en"", ""fr"")"),"ILLICITE")</f>
        <v>ILLICITE</v>
      </c>
      <c r="D4518" s="1" t="s">
        <v>4963</v>
      </c>
    </row>
    <row r="4519" spans="1:10" ht="14.25" customHeight="1" x14ac:dyDescent="0.3">
      <c r="A4519" s="1" t="s">
        <v>4660</v>
      </c>
      <c r="B4519" s="1" t="str">
        <f ca="1">IFERROR(__xludf.DUMMYFUNCTION("GOOGLETRANSLATE(A4519, ""en"", ""fr"")"),"ILLÉGALEMENT")</f>
        <v>ILLÉGALEMENT</v>
      </c>
      <c r="D4519" s="1" t="s">
        <v>4963</v>
      </c>
    </row>
    <row r="4520" spans="1:10" ht="14.25" customHeight="1" x14ac:dyDescent="0.3">
      <c r="A4520" s="1" t="s">
        <v>4661</v>
      </c>
      <c r="B4520" s="1" t="str">
        <f ca="1">IFERROR(__xludf.DUMMYFUNCTION("GOOGLETRANSLATE(A4520, ""en"", ""fr"")"),"sauf si")</f>
        <v>sauf si</v>
      </c>
      <c r="J4520" s="1" t="s">
        <v>7</v>
      </c>
    </row>
    <row r="4521" spans="1:10" ht="14.25" customHeight="1" x14ac:dyDescent="0.3">
      <c r="A4521" s="1" t="s">
        <v>4662</v>
      </c>
      <c r="B4521" s="1" t="str">
        <f ca="1">IFERROR(__xludf.DUMMYFUNCTION("GOOGLETRANSLATE(A4521, ""en"", ""fr"")"),"Sans licence")</f>
        <v>Sans licence</v>
      </c>
      <c r="D4521" s="1" t="s">
        <v>4963</v>
      </c>
    </row>
    <row r="4522" spans="1:10" ht="14.25" customHeight="1" x14ac:dyDescent="0.3">
      <c r="A4522" s="1" t="s">
        <v>4663</v>
      </c>
      <c r="B4522" s="1" t="str">
        <f ca="1">IFERROR(__xludf.DUMMYFUNCTION("GOOGLETRANSLATE(A4522, ""en"", ""fr"")"),"Peu liquidé")</f>
        <v>Peu liquidé</v>
      </c>
      <c r="D4522" s="1" t="s">
        <v>4963</v>
      </c>
    </row>
    <row r="4523" spans="1:10" ht="14.25" customHeight="1" x14ac:dyDescent="0.3">
      <c r="A4523" s="1" t="s">
        <v>4664</v>
      </c>
      <c r="B4523" s="1" t="str">
        <f ca="1">IFERROR(__xludf.DUMMYFUNCTION("GOOGLETRANSLATE(A4523, ""en"", ""fr"")"),"Sans marché")</f>
        <v>Sans marché</v>
      </c>
      <c r="D4523" s="1" t="s">
        <v>4963</v>
      </c>
    </row>
    <row r="4524" spans="1:10" ht="14.25" customHeight="1" x14ac:dyDescent="0.3">
      <c r="A4524" s="1" t="s">
        <v>4665</v>
      </c>
      <c r="B4524" s="1" t="str">
        <f ca="1">IFERROR(__xludf.DUMMYFUNCTION("GOOGLETRANSLATE(A4524, ""en"", ""fr"")"),"INCOMPARABLE")</f>
        <v>INCOMPARABLE</v>
      </c>
      <c r="H4524" s="1" t="s">
        <v>4964</v>
      </c>
    </row>
    <row r="4525" spans="1:10" ht="14.25" customHeight="1" x14ac:dyDescent="0.3">
      <c r="A4525" s="1" t="s">
        <v>4666</v>
      </c>
      <c r="B4525" s="1" t="str">
        <f ca="1">IFERROR(__xludf.DUMMYFUNCTION("GOOGLETRANSLATE(A4525, ""en"", ""fr"")"),"Sans réserve")</f>
        <v>Sans réserve</v>
      </c>
      <c r="D4525" s="1" t="s">
        <v>4963</v>
      </c>
    </row>
    <row r="4526" spans="1:10" ht="14.25" customHeight="1" x14ac:dyDescent="0.3">
      <c r="A4526" s="1" t="s">
        <v>4667</v>
      </c>
      <c r="B4526" s="1" t="str">
        <f ca="1">IFERROR(__xludf.DUMMYFUNCTION("GOOGLETRANSLATE(A4526, ""en"", ""fr"")"),"Inutilement")</f>
        <v>Inutilement</v>
      </c>
      <c r="D4526" s="1" t="s">
        <v>4963</v>
      </c>
    </row>
    <row r="4527" spans="1:10" ht="14.25" customHeight="1" x14ac:dyDescent="0.3">
      <c r="A4527" s="1" t="s">
        <v>4668</v>
      </c>
      <c r="B4527" s="1" t="str">
        <f ca="1">IFERROR(__xludf.DUMMYFUNCTION("GOOGLETRANSLATE(A4527, ""en"", ""fr"")"),"INUTILE")</f>
        <v>INUTILE</v>
      </c>
      <c r="D4527" s="1" t="s">
        <v>4963</v>
      </c>
    </row>
    <row r="4528" spans="1:10" ht="14.25" customHeight="1" x14ac:dyDescent="0.3">
      <c r="A4528" s="1" t="s">
        <v>4669</v>
      </c>
      <c r="B4528" s="1" t="str">
        <f ca="1">IFERROR(__xludf.DUMMYFUNCTION("GOOGLETRANSLATE(A4528, ""en"", ""fr"")"),"Inutile")</f>
        <v>Inutile</v>
      </c>
      <c r="D4528" s="1" t="s">
        <v>4963</v>
      </c>
    </row>
    <row r="4529" spans="1:8" ht="14.25" customHeight="1" x14ac:dyDescent="0.3">
      <c r="A4529" s="1" t="s">
        <v>4670</v>
      </c>
      <c r="B4529" s="1" t="str">
        <f ca="1">IFERROR(__xludf.DUMMYFUNCTION("GOOGLETRANSLATE(A4529, ""en"", ""fr"")"),"IMPOSSIBLE À OBTENIR")</f>
        <v>IMPOSSIBLE À OBTENIR</v>
      </c>
      <c r="D4529" s="1" t="s">
        <v>4963</v>
      </c>
    </row>
    <row r="4530" spans="1:8" ht="14.25" customHeight="1" x14ac:dyDescent="0.3">
      <c r="A4530" s="1" t="s">
        <v>4671</v>
      </c>
      <c r="B4530" s="1" t="str">
        <f ca="1">IFERROR(__xludf.DUMMYFUNCTION("GOOGLETRANSLATE(A4530, ""en"", ""fr"")"),"INOCCUPÉ")</f>
        <v>INOCCUPÉ</v>
      </c>
      <c r="D4530" s="1" t="s">
        <v>4963</v>
      </c>
    </row>
    <row r="4531" spans="1:8" ht="14.25" customHeight="1" x14ac:dyDescent="0.3">
      <c r="A4531" s="1" t="s">
        <v>4672</v>
      </c>
      <c r="B4531" s="1" t="str">
        <f ca="1">IFERROR(__xludf.DUMMYFUNCTION("GOOGLETRANSLATE(A4531, ""en"", ""fr"")"),"NON PAYÉ")</f>
        <v>NON PAYÉ</v>
      </c>
      <c r="D4531" s="1" t="s">
        <v>4963</v>
      </c>
    </row>
    <row r="4532" spans="1:8" ht="14.25" customHeight="1" x14ac:dyDescent="0.3">
      <c r="A4532" s="1" t="s">
        <v>4673</v>
      </c>
      <c r="B4532" s="1" t="str">
        <f ca="1">IFERROR(__xludf.DUMMYFUNCTION("GOOGLETRANSLATE(A4532, ""en"", ""fr"")"),"SANS PRÉCÉDENT")</f>
        <v>SANS PRÉCÉDENT</v>
      </c>
      <c r="H4532" s="1" t="s">
        <v>4964</v>
      </c>
    </row>
    <row r="4533" spans="1:8" ht="14.25" customHeight="1" x14ac:dyDescent="0.3">
      <c r="A4533" s="1" t="s">
        <v>4674</v>
      </c>
      <c r="B4533" s="1" t="str">
        <f ca="1">IFERROR(__xludf.DUMMYFUNCTION("GOOGLETRANSLATE(A4533, ""en"", ""fr"")"),"Non performé")</f>
        <v>Non performé</v>
      </c>
      <c r="D4533" s="1" t="s">
        <v>4963</v>
      </c>
    </row>
    <row r="4534" spans="1:8" ht="14.25" customHeight="1" x14ac:dyDescent="0.3">
      <c r="A4534" s="1" t="s">
        <v>4675</v>
      </c>
      <c r="B4534" s="1" t="str">
        <f ca="1">IFERROR(__xludf.DUMMYFUNCTION("GOOGLETRANSLATE(A4534, ""en"", ""fr"")"),"IMPRÉVU")</f>
        <v>IMPRÉVU</v>
      </c>
      <c r="D4534" s="1" t="s">
        <v>4963</v>
      </c>
    </row>
    <row r="4535" spans="1:8" ht="14.25" customHeight="1" x14ac:dyDescent="0.3">
      <c r="A4535" s="1" t="s">
        <v>4676</v>
      </c>
      <c r="B4535" s="1" t="str">
        <f ca="1">IFERROR(__xludf.DUMMYFUNCTION("GOOGLETRANSLATE(A4535, ""en"", ""fr"")"),"IMPOPULAIRE")</f>
        <v>IMPOPULAIRE</v>
      </c>
      <c r="D4535" s="1" t="s">
        <v>4963</v>
      </c>
    </row>
    <row r="4536" spans="1:8" ht="14.25" customHeight="1" x14ac:dyDescent="0.3">
      <c r="A4536" s="1" t="s">
        <v>4677</v>
      </c>
      <c r="B4536" s="1" t="str">
        <f ca="1">IFERROR(__xludf.DUMMYFUNCTION("GOOGLETRANSLATE(A4536, ""en"", ""fr"")"),"Imprévisibilité")</f>
        <v>Imprévisibilité</v>
      </c>
      <c r="D4536" s="1" t="s">
        <v>4963</v>
      </c>
    </row>
    <row r="4537" spans="1:8" ht="14.25" customHeight="1" x14ac:dyDescent="0.3">
      <c r="A4537" s="1" t="s">
        <v>4678</v>
      </c>
      <c r="B4537" s="1" t="str">
        <f ca="1">IFERROR(__xludf.DUMMYFUNCTION("GOOGLETRANSLATE(A4537, ""en"", ""fr"")"),"IMPRÉVISIBLE")</f>
        <v>IMPRÉVISIBLE</v>
      </c>
      <c r="D4537" s="1" t="s">
        <v>4963</v>
      </c>
    </row>
    <row r="4538" spans="1:8" ht="14.25" customHeight="1" x14ac:dyDescent="0.3">
      <c r="A4538" s="1" t="s">
        <v>4679</v>
      </c>
      <c r="B4538" s="1" t="str">
        <f ca="1">IFERROR(__xludf.DUMMYFUNCTION("GOOGLETRANSLATE(A4538, ""en"", ""fr"")"),"Imprévisible")</f>
        <v>Imprévisible</v>
      </c>
      <c r="D4538" s="1" t="s">
        <v>4963</v>
      </c>
    </row>
    <row r="4539" spans="1:8" ht="14.25" customHeight="1" x14ac:dyDescent="0.3">
      <c r="A4539" s="1" t="s">
        <v>4680</v>
      </c>
      <c r="B4539" s="1" t="str">
        <f ca="1">IFERROR(__xludf.DUMMYFUNCTION("GOOGLETRANSLATE(A4539, ""en"", ""fr"")"),"Imprégné")</f>
        <v>Imprégné</v>
      </c>
      <c r="D4539" s="1" t="s">
        <v>4963</v>
      </c>
    </row>
    <row r="4540" spans="1:8" ht="14.25" customHeight="1" x14ac:dyDescent="0.3">
      <c r="A4540" s="1" t="s">
        <v>4681</v>
      </c>
      <c r="B4540" s="1" t="str">
        <f ca="1">IFERROR(__xludf.DUMMYFUNCTION("GOOGLETRANSLATE(A4540, ""en"", ""fr"")"),"IMPRODUCTIF")</f>
        <v>IMPRODUCTIF</v>
      </c>
      <c r="D4540" s="1" t="s">
        <v>4963</v>
      </c>
    </row>
    <row r="4541" spans="1:8" ht="14.25" customHeight="1" x14ac:dyDescent="0.3">
      <c r="A4541" s="1" t="s">
        <v>4682</v>
      </c>
      <c r="B4541" s="1" t="str">
        <f ca="1">IFERROR(__xludf.DUMMYFUNCTION("GOOGLETRANSLATE(A4541, ""en"", ""fr"")"),"Peu d'activabilité")</f>
        <v>Peu d'activabilité</v>
      </c>
      <c r="D4541" s="1" t="s">
        <v>4963</v>
      </c>
    </row>
    <row r="4542" spans="1:8" ht="14.25" customHeight="1" x14ac:dyDescent="0.3">
      <c r="A4542" s="1" t="s">
        <v>4683</v>
      </c>
      <c r="B4542" s="1" t="str">
        <f ca="1">IFERROR(__xludf.DUMMYFUNCTION("GOOGLETRANSLATE(A4542, ""en"", ""fr"")"),"PEU RENTABLE")</f>
        <v>PEU RENTABLE</v>
      </c>
      <c r="D4542" s="1" t="s">
        <v>4963</v>
      </c>
    </row>
    <row r="4543" spans="1:8" ht="14.25" customHeight="1" x14ac:dyDescent="0.3">
      <c r="A4543" s="1" t="s">
        <v>4684</v>
      </c>
      <c r="B4543" s="1" t="str">
        <f ca="1">IFERROR(__xludf.DUMMYFUNCTION("GOOGLETRANSLATE(A4543, ""en"", ""fr"")"),"SANS RÉSERVE")</f>
        <v>SANS RÉSERVE</v>
      </c>
      <c r="D4543" s="1" t="s">
        <v>4963</v>
      </c>
    </row>
    <row r="4544" spans="1:8" ht="14.25" customHeight="1" x14ac:dyDescent="0.3">
      <c r="A4544" s="1" t="s">
        <v>4685</v>
      </c>
      <c r="B4544" s="1" t="str">
        <f ca="1">IFERROR(__xludf.DUMMYFUNCTION("GOOGLETRANSLATE(A4544, ""en"", ""fr"")"),"IRRÉALISTE")</f>
        <v>IRRÉALISTE</v>
      </c>
      <c r="D4544" s="1" t="s">
        <v>4963</v>
      </c>
    </row>
    <row r="4545" spans="1:4" ht="14.25" customHeight="1" x14ac:dyDescent="0.3">
      <c r="A4545" s="1" t="s">
        <v>4686</v>
      </c>
      <c r="B4545" s="1" t="str">
        <f ca="1">IFERROR(__xludf.DUMMYFUNCTION("GOOGLETRANSLATE(A4545, ""en"", ""fr"")"),"DÉRAISONNABLE")</f>
        <v>DÉRAISONNABLE</v>
      </c>
      <c r="D4545" s="1" t="s">
        <v>4963</v>
      </c>
    </row>
    <row r="4546" spans="1:4" ht="14.25" customHeight="1" x14ac:dyDescent="0.3">
      <c r="A4546" s="1" t="s">
        <v>4687</v>
      </c>
      <c r="B4546" s="1" t="str">
        <f ca="1">IFERROR(__xludf.DUMMYFUNCTION("GOOGLETRANSLATE(A4546, ""en"", ""fr"")"),"Déraisonnable")</f>
        <v>Déraisonnable</v>
      </c>
      <c r="D4546" s="1" t="s">
        <v>4963</v>
      </c>
    </row>
    <row r="4547" spans="1:4" ht="14.25" customHeight="1" x14ac:dyDescent="0.3">
      <c r="A4547" s="1" t="s">
        <v>4688</v>
      </c>
      <c r="B4547" s="1" t="str">
        <f ca="1">IFERROR(__xludf.DUMMYFUNCTION("GOOGLETRANSLATE(A4547, ""en"", ""fr"")"),"Déraisonnablement")</f>
        <v>Déraisonnablement</v>
      </c>
      <c r="D4547" s="1" t="s">
        <v>4963</v>
      </c>
    </row>
    <row r="4548" spans="1:4" ht="14.25" customHeight="1" x14ac:dyDescent="0.3">
      <c r="A4548" s="1" t="s">
        <v>4689</v>
      </c>
      <c r="B4548" s="1" t="str">
        <f ca="1">IFERROR(__xludf.DUMMYFUNCTION("GOOGLETRANSLATE(A4548, ""en"", ""fr"")"),"Irrécouvrable")</f>
        <v>Irrécouvrable</v>
      </c>
      <c r="D4548" s="1" t="s">
        <v>4963</v>
      </c>
    </row>
    <row r="4549" spans="1:4" ht="14.25" customHeight="1" x14ac:dyDescent="0.3">
      <c r="A4549" s="1" t="s">
        <v>4690</v>
      </c>
      <c r="B4549" s="1" t="str">
        <f ca="1">IFERROR(__xludf.DUMMYFUNCTION("GOOGLETRANSLATE(A4549, ""en"", ""fr"")"),"Sans recouvrement")</f>
        <v>Sans recouvrement</v>
      </c>
      <c r="D4549" s="1" t="s">
        <v>4963</v>
      </c>
    </row>
    <row r="4550" spans="1:4" ht="14.25" customHeight="1" x14ac:dyDescent="0.3">
      <c r="A4550" s="1" t="s">
        <v>4691</v>
      </c>
      <c r="B4550" s="1" t="str">
        <f ca="1">IFERROR(__xludf.DUMMYFUNCTION("GOOGLETRANSLATE(A4550, ""en"", ""fr"")"),"Non remboursé")</f>
        <v>Non remboursé</v>
      </c>
      <c r="D4550" s="1" t="s">
        <v>4963</v>
      </c>
    </row>
    <row r="4551" spans="1:4" ht="14.25" customHeight="1" x14ac:dyDescent="0.3">
      <c r="A4551" s="1" t="s">
        <v>4692</v>
      </c>
      <c r="B4551" s="1" t="str">
        <f ca="1">IFERROR(__xludf.DUMMYFUNCTION("GOOGLETRANSLATE(A4551, ""en"", ""fr"")"),"NON FIABLE")</f>
        <v>NON FIABLE</v>
      </c>
      <c r="D4551" s="1" t="s">
        <v>4963</v>
      </c>
    </row>
    <row r="4552" spans="1:4" ht="14.25" customHeight="1" x14ac:dyDescent="0.3">
      <c r="A4552" s="1" t="s">
        <v>4693</v>
      </c>
      <c r="B4552" s="1" t="str">
        <f ca="1">IFERROR(__xludf.DUMMYFUNCTION("GOOGLETRANSLATE(A4552, ""en"", ""fr"")"),"Sans réflexion")</f>
        <v>Sans réflexion</v>
      </c>
      <c r="D4552" s="1" t="s">
        <v>4963</v>
      </c>
    </row>
    <row r="4553" spans="1:4" ht="14.25" customHeight="1" x14ac:dyDescent="0.3">
      <c r="A4553" s="1" t="s">
        <v>4694</v>
      </c>
      <c r="B4553" s="1" t="str">
        <f ca="1">IFERROR(__xludf.DUMMYFUNCTION("GOOGLETRANSLATE(A4553, ""en"", ""fr"")"),"Non déclaré")</f>
        <v>Non déclaré</v>
      </c>
      <c r="D4553" s="1" t="s">
        <v>4963</v>
      </c>
    </row>
    <row r="4554" spans="1:4" ht="14.25" customHeight="1" x14ac:dyDescent="0.3">
      <c r="A4554" s="1" t="s">
        <v>4695</v>
      </c>
      <c r="B4554" s="1" t="str">
        <f ca="1">IFERROR(__xludf.DUMMYFUNCTION("GOOGLETRANSLATE(A4554, ""en"", ""fr"")"),"NON RÉSOLU")</f>
        <v>NON RÉSOLU</v>
      </c>
      <c r="D4554" s="1" t="s">
        <v>4963</v>
      </c>
    </row>
    <row r="4555" spans="1:4" ht="14.25" customHeight="1" x14ac:dyDescent="0.3">
      <c r="A4555" s="1" t="s">
        <v>4696</v>
      </c>
      <c r="B4555" s="1" t="str">
        <f ca="1">IFERROR(__xludf.DUMMYFUNCTION("GOOGLETRANSLATE(A4555, ""en"", ""fr"")"),"TROUBLES")</f>
        <v>TROUBLES</v>
      </c>
      <c r="D4555" s="1" t="s">
        <v>4963</v>
      </c>
    </row>
    <row r="4556" spans="1:4" ht="14.25" customHeight="1" x14ac:dyDescent="0.3">
      <c r="A4556" s="1" t="s">
        <v>4697</v>
      </c>
      <c r="B4556" s="1" t="str">
        <f ca="1">IFERROR(__xludf.DUMMYFUNCTION("GOOGLETRANSLATE(A4556, ""en"", ""fr"")"),"PEU SÛR")</f>
        <v>PEU SÛR</v>
      </c>
      <c r="D4556" s="1" t="s">
        <v>4963</v>
      </c>
    </row>
    <row r="4557" spans="1:4" ht="14.25" customHeight="1" x14ac:dyDescent="0.3">
      <c r="A4557" s="1" t="s">
        <v>4698</v>
      </c>
      <c r="B4557" s="1" t="str">
        <f ca="1">IFERROR(__xludf.DUMMYFUNCTION("GOOGLETRANSLATE(A4557, ""en"", ""fr"")"),"Inséborable")</f>
        <v>Inséborable</v>
      </c>
      <c r="D4557" s="1" t="s">
        <v>4963</v>
      </c>
    </row>
    <row r="4558" spans="1:4" ht="14.25" customHeight="1" x14ac:dyDescent="0.3">
      <c r="A4558" s="1" t="s">
        <v>4699</v>
      </c>
      <c r="B4558" s="1" t="str">
        <f ca="1">IFERROR(__xludf.DUMMYFUNCTION("GOOGLETRANSLATE(A4558, ""en"", ""fr"")"),"INVENDABLE")</f>
        <v>INVENDABLE</v>
      </c>
      <c r="D4558" s="1" t="s">
        <v>4963</v>
      </c>
    </row>
    <row r="4559" spans="1:4" ht="14.25" customHeight="1" x14ac:dyDescent="0.3">
      <c r="A4559" s="1" t="s">
        <v>4700</v>
      </c>
      <c r="B4559" s="1" t="str">
        <f ca="1">IFERROR(__xludf.DUMMYFUNCTION("GOOGLETRANSLATE(A4559, ""en"", ""fr"")"),"Insatisfaisant")</f>
        <v>Insatisfaisant</v>
      </c>
      <c r="D4559" s="1" t="s">
        <v>4963</v>
      </c>
    </row>
    <row r="4560" spans="1:4" ht="14.25" customHeight="1" x14ac:dyDescent="0.3">
      <c r="A4560" s="1" t="s">
        <v>4701</v>
      </c>
      <c r="B4560" s="1" t="str">
        <f ca="1">IFERROR(__xludf.DUMMYFUNCTION("GOOGLETRANSLATE(A4560, ""en"", ""fr"")"),"INSATISFAIT")</f>
        <v>INSATISFAIT</v>
      </c>
      <c r="D4560" s="1" t="s">
        <v>4963</v>
      </c>
    </row>
    <row r="4561" spans="1:13" ht="14.25" customHeight="1" x14ac:dyDescent="0.3">
      <c r="A4561" s="1" t="s">
        <v>4702</v>
      </c>
      <c r="B4561" s="1" t="str">
        <f ca="1">IFERROR(__xludf.DUMMYFUNCTION("GOOGLETRANSLATE(A4561, ""en"", ""fr"")"),"Peu recommandable")</f>
        <v>Peu recommandable</v>
      </c>
      <c r="D4561" s="1" t="s">
        <v>4963</v>
      </c>
    </row>
    <row r="4562" spans="1:13" ht="14.25" customHeight="1" x14ac:dyDescent="0.3">
      <c r="A4562" s="1" t="s">
        <v>4703</v>
      </c>
      <c r="B4562" s="1" t="str">
        <f ca="1">IFERROR(__xludf.DUMMYFUNCTION("GOOGLETRANSLATE(A4562, ""en"", ""fr"")"),"Imprégné")</f>
        <v>Imprégné</v>
      </c>
      <c r="D4562" s="1" t="s">
        <v>4963</v>
      </c>
    </row>
    <row r="4563" spans="1:13" ht="14.25" customHeight="1" x14ac:dyDescent="0.3">
      <c r="A4563" s="1" t="s">
        <v>4704</v>
      </c>
      <c r="B4563" s="1" t="str">
        <f ca="1">IFERROR(__xludf.DUMMYFUNCTION("GOOGLETRANSLATE(A4563, ""en"", ""fr"")"),"INVENDU")</f>
        <v>INVENDU</v>
      </c>
      <c r="D4563" s="1" t="s">
        <v>4963</v>
      </c>
    </row>
    <row r="4564" spans="1:13" ht="14.25" customHeight="1" x14ac:dyDescent="0.3">
      <c r="A4564" s="1" t="s">
        <v>4705</v>
      </c>
      <c r="B4564" s="1" t="str">
        <f ca="1">IFERROR(__xludf.DUMMYFUNCTION("GOOGLETRANSLATE(A4564, ""en"", ""fr"")"),"Index d'inventaire non vendu")</f>
        <v>Index d'inventaire non vendu</v>
      </c>
      <c r="M4564" s="1" t="s">
        <v>10</v>
      </c>
    </row>
    <row r="4565" spans="1:13" ht="14.25" customHeight="1" x14ac:dyDescent="0.3">
      <c r="A4565" s="1" t="s">
        <v>4706</v>
      </c>
      <c r="B4565" s="1" t="str">
        <f ca="1">IFERROR(__xludf.DUMMYFUNCTION("GOOGLETRANSLATE(A4565, ""en"", ""fr"")"),"Qui n'est pas lié")</f>
        <v>Qui n'est pas lié</v>
      </c>
      <c r="D4565" s="1" t="s">
        <v>4963</v>
      </c>
    </row>
    <row r="4566" spans="1:13" ht="14.25" customHeight="1" x14ac:dyDescent="0.3">
      <c r="A4566" s="1" t="s">
        <v>4707</v>
      </c>
      <c r="B4566" s="1" t="str">
        <f ca="1">IFERROR(__xludf.DUMMYFUNCTION("GOOGLETRANSLATE(A4566, ""en"", ""fr"")"),"INSTABLE")</f>
        <v>INSTABLE</v>
      </c>
      <c r="D4566" s="1" t="s">
        <v>4963</v>
      </c>
    </row>
    <row r="4567" spans="1:13" ht="14.25" customHeight="1" x14ac:dyDescent="0.3">
      <c r="A4567" s="1" t="s">
        <v>4708</v>
      </c>
      <c r="B4567" s="1" t="str">
        <f ca="1">IFERROR(__xludf.DUMMYFUNCTION("GOOGLETRANSLATE(A4567, ""en"", ""fr"")"),"Sans fondement")</f>
        <v>Sans fondement</v>
      </c>
      <c r="D4567" s="1" t="s">
        <v>4963</v>
      </c>
    </row>
    <row r="4568" spans="1:13" ht="14.25" customHeight="1" x14ac:dyDescent="0.3">
      <c r="A4568" s="1" t="s">
        <v>4709</v>
      </c>
      <c r="B4568" s="1" t="str">
        <f ca="1">IFERROR(__xludf.DUMMYFUNCTION("GOOGLETRANSLATE(A4568, ""en"", ""fr"")"),"INFRUCTUEUX")</f>
        <v>INFRUCTUEUX</v>
      </c>
      <c r="D4568" s="1" t="s">
        <v>4963</v>
      </c>
    </row>
    <row r="4569" spans="1:13" ht="14.25" customHeight="1" x14ac:dyDescent="0.3">
      <c r="A4569" s="1" t="s">
        <v>4710</v>
      </c>
      <c r="B4569" s="1" t="str">
        <f ca="1">IFERROR(__xludf.DUMMYFUNCTION("GOOGLETRANSLATE(A4569, ""en"", ""fr"")"),"Sans succès")</f>
        <v>Sans succès</v>
      </c>
      <c r="D4569" s="1" t="s">
        <v>4963</v>
      </c>
    </row>
    <row r="4570" spans="1:13" ht="14.25" customHeight="1" x14ac:dyDescent="0.3">
      <c r="A4570" s="1" t="s">
        <v>4711</v>
      </c>
      <c r="B4570" s="1" t="str">
        <f ca="1">IFERROR(__xludf.DUMMYFUNCTION("GOOGLETRANSLATE(A4570, ""en"", ""fr"")"),"Inapprovisionnement")</f>
        <v>Inapprovisionnement</v>
      </c>
      <c r="D4570" s="1" t="s">
        <v>4963</v>
      </c>
    </row>
    <row r="4571" spans="1:13" ht="14.25" customHeight="1" x14ac:dyDescent="0.3">
      <c r="A4571" s="1" t="s">
        <v>4712</v>
      </c>
      <c r="B4571" s="1" t="str">
        <f ca="1">IFERROR(__xludf.DUMMYFUNCTION("GOOGLETRANSLATE(A4571, ""en"", ""fr"")"),"INAPPROPRIÉ")</f>
        <v>INAPPROPRIÉ</v>
      </c>
      <c r="D4571" s="1" t="s">
        <v>4963</v>
      </c>
    </row>
    <row r="4572" spans="1:13" ht="14.25" customHeight="1" x14ac:dyDescent="0.3">
      <c r="A4572" s="1" t="s">
        <v>4713</v>
      </c>
      <c r="B4572" s="1" t="str">
        <f ca="1">IFERROR(__xludf.DUMMYFUNCTION("GOOGLETRANSLATE(A4572, ""en"", ""fr"")"),"Non titulaire")</f>
        <v>Non titulaire</v>
      </c>
      <c r="D4572" s="1" t="s">
        <v>4963</v>
      </c>
    </row>
    <row r="4573" spans="1:13" ht="14.25" customHeight="1" x14ac:dyDescent="0.3">
      <c r="A4573" s="1" t="s">
        <v>4714</v>
      </c>
      <c r="B4573" s="1" t="str">
        <f ca="1">IFERROR(__xludf.DUMMYFUNCTION("GOOGLETRANSLATE(A4573, ""en"", ""fr"")"),"INAPTE")</f>
        <v>INAPTE</v>
      </c>
      <c r="D4573" s="1" t="s">
        <v>4963</v>
      </c>
    </row>
    <row r="4574" spans="1:13" ht="14.25" customHeight="1" x14ac:dyDescent="0.3">
      <c r="A4574" s="1" t="s">
        <v>4715</v>
      </c>
      <c r="B4574" s="1" t="str">
        <f ca="1">IFERROR(__xludf.DUMMYFUNCTION("GOOGLETRANSLATE(A4574, ""en"", ""fr"")"),"INCERTAIN")</f>
        <v>INCERTAIN</v>
      </c>
      <c r="D4574" s="1" t="s">
        <v>4963</v>
      </c>
    </row>
    <row r="4575" spans="1:13" ht="14.25" customHeight="1" x14ac:dyDescent="0.3">
      <c r="A4575" s="1" t="s">
        <v>4716</v>
      </c>
      <c r="B4575" s="1" t="str">
        <f ca="1">IFERROR(__xludf.DUMMYFUNCTION("GOOGLETRANSLATE(A4575, ""en"", ""fr"")"),"Inégalé")</f>
        <v>Inégalé</v>
      </c>
      <c r="H4575" s="1" t="s">
        <v>4964</v>
      </c>
    </row>
    <row r="4576" spans="1:13" ht="14.25" customHeight="1" x14ac:dyDescent="0.3">
      <c r="A4576" s="1" t="s">
        <v>4717</v>
      </c>
      <c r="B4576" s="1" t="str">
        <f ca="1">IFERROR(__xludf.DUMMYFUNCTION("GOOGLETRANSLATE(A4576, ""en"", ""fr"")"),"INSOUPÇONNÉ")</f>
        <v>INSOUPÇONNÉ</v>
      </c>
      <c r="D4576" s="1" t="s">
        <v>4963</v>
      </c>
    </row>
    <row r="4577" spans="1:10" ht="14.25" customHeight="1" x14ac:dyDescent="0.3">
      <c r="A4577" s="1" t="s">
        <v>4718</v>
      </c>
      <c r="B4577" s="1" t="str">
        <f ca="1">IFERROR(__xludf.DUMMYFUNCTION("GOOGLETRANSLATE(A4577, ""en"", ""fr"")"),"Sans méfiance")</f>
        <v>Sans méfiance</v>
      </c>
      <c r="D4577" s="1" t="s">
        <v>4963</v>
      </c>
    </row>
    <row r="4578" spans="1:10" ht="14.25" customHeight="1" x14ac:dyDescent="0.3">
      <c r="A4578" s="1" t="s">
        <v>4719</v>
      </c>
      <c r="B4578" s="1" t="str">
        <f ca="1">IFERROR(__xludf.DUMMYFUNCTION("GOOGLETRANSLATE(A4578, ""en"", ""fr"")"),"Insoutenable")</f>
        <v>Insoutenable</v>
      </c>
      <c r="D4578" s="1" t="s">
        <v>4963</v>
      </c>
    </row>
    <row r="4579" spans="1:10" ht="14.25" customHeight="1" x14ac:dyDescent="0.3">
      <c r="A4579" s="1" t="s">
        <v>4720</v>
      </c>
      <c r="B4579" s="1" t="str">
        <f ca="1">IFERROR(__xludf.DUMMYFUNCTION("GOOGLETRANSLATE(A4579, ""en"", ""fr"")"),"INTENABLE")</f>
        <v>INTENABLE</v>
      </c>
      <c r="D4579" s="1" t="s">
        <v>4963</v>
      </c>
    </row>
    <row r="4580" spans="1:10" ht="14.25" customHeight="1" x14ac:dyDescent="0.3">
      <c r="A4580" s="1" t="s">
        <v>4721</v>
      </c>
      <c r="B4580" s="1" t="str">
        <f ca="1">IFERROR(__xludf.DUMMYFUNCTION("GOOGLETRANSLATE(A4580, ""en"", ""fr"")"),"jusqu'à")</f>
        <v>jusqu'à</v>
      </c>
      <c r="J4580" s="1" t="s">
        <v>7</v>
      </c>
    </row>
    <row r="4581" spans="1:10" ht="14.25" customHeight="1" x14ac:dyDescent="0.3">
      <c r="A4581" s="1" t="s">
        <v>4722</v>
      </c>
      <c r="B4581" s="1" t="str">
        <f ca="1">IFERROR(__xludf.DUMMYFUNCTION("GOOGLETRANSLATE(A4581, ""en"", ""fr"")"),"PRÉMATURÉ")</f>
        <v>PRÉMATURÉ</v>
      </c>
      <c r="D4581" s="1" t="s">
        <v>4963</v>
      </c>
    </row>
    <row r="4582" spans="1:10" ht="14.25" customHeight="1" x14ac:dyDescent="0.3">
      <c r="A4582" s="1" t="s">
        <v>4723</v>
      </c>
      <c r="B4582" s="1" t="str">
        <f ca="1">IFERROR(__xludf.DUMMYFUNCTION("GOOGLETRANSLATE(A4582, ""en"", ""fr"")"),"MENSONGE")</f>
        <v>MENSONGE</v>
      </c>
      <c r="D4582" s="1" t="s">
        <v>4963</v>
      </c>
    </row>
    <row r="4583" spans="1:10" ht="14.25" customHeight="1" x14ac:dyDescent="0.3">
      <c r="A4583" s="1" t="s">
        <v>4724</v>
      </c>
      <c r="B4583" s="1" t="str">
        <f ca="1">IFERROR(__xludf.DUMMYFUNCTION("GOOGLETRANSLATE(A4583, ""en"", ""fr"")"),"MENSONGER")</f>
        <v>MENSONGER</v>
      </c>
      <c r="D4583" s="1" t="s">
        <v>4963</v>
      </c>
    </row>
    <row r="4584" spans="1:10" ht="14.25" customHeight="1" x14ac:dyDescent="0.3">
      <c r="A4584" s="1" t="s">
        <v>4725</v>
      </c>
      <c r="B4584" s="1" t="str">
        <f ca="1">IFERROR(__xludf.DUMMYFUNCTION("GOOGLETRANSLATE(A4584, ""en"", ""fr"")"),"Sans doute")</f>
        <v>Sans doute</v>
      </c>
      <c r="D4584" s="1" t="s">
        <v>4963</v>
      </c>
    </row>
    <row r="4585" spans="1:10" ht="14.25" customHeight="1" x14ac:dyDescent="0.3">
      <c r="A4585" s="1" t="s">
        <v>4726</v>
      </c>
      <c r="B4585" s="1" t="str">
        <f ca="1">IFERROR(__xludf.DUMMYFUNCTION("GOOGLETRANSLATE(A4585, ""en"", ""fr"")"),"MENSONGE")</f>
        <v>MENSONGE</v>
      </c>
      <c r="D4585" s="1" t="s">
        <v>4963</v>
      </c>
    </row>
    <row r="4586" spans="1:10" ht="14.25" customHeight="1" x14ac:dyDescent="0.3">
      <c r="A4586" s="1" t="s">
        <v>4727</v>
      </c>
      <c r="B4586" s="1" t="str">
        <f ca="1">IFERROR(__xludf.DUMMYFUNCTION("GOOGLETRANSLATE(A4586, ""en"", ""fr"")"),"Contrevérise")</f>
        <v>Contrevérise</v>
      </c>
      <c r="D4586" s="1" t="s">
        <v>4963</v>
      </c>
    </row>
    <row r="4587" spans="1:10" ht="14.25" customHeight="1" x14ac:dyDescent="0.3">
      <c r="A4587" s="1" t="s">
        <v>4728</v>
      </c>
      <c r="B4587" s="1" t="str">
        <f ca="1">IFERROR(__xludf.DUMMYFUNCTION("GOOGLETRANSLATE(A4587, ""en"", ""fr"")"),"INUTILISABLE")</f>
        <v>INUTILISABLE</v>
      </c>
      <c r="D4587" s="1" t="s">
        <v>4963</v>
      </c>
    </row>
    <row r="4588" spans="1:10" ht="14.25" customHeight="1" x14ac:dyDescent="0.3">
      <c r="A4588" s="1" t="s">
        <v>4729</v>
      </c>
      <c r="B4588" s="1" t="str">
        <f ca="1">IFERROR(__xludf.DUMMYFUNCTION("GOOGLETRANSLATE(A4588, ""en"", ""fr"")"),"INDÉSIRABLE")</f>
        <v>INDÉSIRABLE</v>
      </c>
      <c r="D4588" s="1" t="s">
        <v>4963</v>
      </c>
    </row>
    <row r="4589" spans="1:10" ht="14.25" customHeight="1" x14ac:dyDescent="0.3">
      <c r="A4589" s="1" t="s">
        <v>4730</v>
      </c>
      <c r="B4589" s="1" t="str">
        <f ca="1">IFERROR(__xludf.DUMMYFUNCTION("GOOGLETRANSLATE(A4589, ""en"", ""fr"")"),"INJUSTIFIÉ")</f>
        <v>INJUSTIFIÉ</v>
      </c>
      <c r="D4589" s="1" t="s">
        <v>4963</v>
      </c>
    </row>
    <row r="4590" spans="1:10" ht="14.25" customHeight="1" x14ac:dyDescent="0.3">
      <c r="A4590" s="1" t="s">
        <v>4731</v>
      </c>
      <c r="B4590" s="1" t="str">
        <f ca="1">IFERROR(__xludf.DUMMYFUNCTION("GOOGLETRANSLATE(A4590, ""en"", ""fr"")"),"IMPORTUN")</f>
        <v>IMPORTUN</v>
      </c>
      <c r="D4590" s="1" t="s">
        <v>4963</v>
      </c>
    </row>
    <row r="4591" spans="1:10" ht="14.25" customHeight="1" x14ac:dyDescent="0.3">
      <c r="A4591" s="1" t="s">
        <v>4732</v>
      </c>
      <c r="B4591" s="1" t="str">
        <f ca="1">IFERROR(__xludf.DUMMYFUNCTION("GOOGLETRANSLATE(A4591, ""en"", ""fr"")"),"Réticent")</f>
        <v>Réticent</v>
      </c>
      <c r="D4591" s="1" t="s">
        <v>4963</v>
      </c>
    </row>
    <row r="4592" spans="1:10" ht="14.25" customHeight="1" x14ac:dyDescent="0.3">
      <c r="A4592" s="1" t="s">
        <v>4733</v>
      </c>
      <c r="B4592" s="1" t="str">
        <f ca="1">IFERROR(__xludf.DUMMYFUNCTION("GOOGLETRANSLATE(A4592, ""en"", ""fr"")"),"RÉTICENCE")</f>
        <v>RÉTICENCE</v>
      </c>
      <c r="D4592" s="1" t="s">
        <v>4963</v>
      </c>
    </row>
    <row r="4593" spans="1:141" ht="14.25" customHeight="1" x14ac:dyDescent="0.3">
      <c r="A4593" s="1" t="s">
        <v>4734</v>
      </c>
      <c r="B4593" s="1" t="str">
        <f ca="1">IFERROR(__xludf.DUMMYFUNCTION("GOOGLETRANSLATE(A4593, ""en"", ""fr"")"),"sur")</f>
        <v>sur</v>
      </c>
      <c r="J4593" s="1" t="s">
        <v>7</v>
      </c>
    </row>
    <row r="4594" spans="1:141" ht="14.25" customHeight="1" x14ac:dyDescent="0.3">
      <c r="A4594" s="1" t="s">
        <v>4735</v>
      </c>
      <c r="B4594" s="1" t="str">
        <f ca="1">IFERROR(__xludf.DUMMYFUNCTION("GOOGLETRANSLATE(A4594, ""en"", ""fr"")"),"Upper Zakum")</f>
        <v>Upper Zakum</v>
      </c>
      <c r="R4594" s="1" t="s">
        <v>15</v>
      </c>
      <c r="CS4594" s="1" t="s">
        <v>94</v>
      </c>
    </row>
    <row r="4595" spans="1:141" ht="14.25" customHeight="1" x14ac:dyDescent="0.3">
      <c r="A4595" s="1" t="s">
        <v>4736</v>
      </c>
      <c r="B4595" s="1" t="str">
        <f ca="1">IFERROR(__xludf.DUMMYFUNCTION("GOOGLETRANSLATE(A4595, ""en"", ""fr"")"),"BOULEVERSÉ")</f>
        <v>BOULEVERSÉ</v>
      </c>
      <c r="D4595" s="1" t="s">
        <v>4963</v>
      </c>
    </row>
    <row r="4596" spans="1:141" ht="14.25" customHeight="1" x14ac:dyDescent="0.3">
      <c r="A4596" s="1" t="s">
        <v>4737</v>
      </c>
      <c r="B4596" s="1" t="str">
        <f ca="1">IFERROR(__xludf.DUMMYFUNCTION("GOOGLETRANSLATE(A4596, ""en"", ""fr"")"),"En amont")</f>
        <v>En amont</v>
      </c>
      <c r="E4596" s="1" t="s">
        <v>3</v>
      </c>
    </row>
    <row r="4597" spans="1:141" ht="14.25" customHeight="1" x14ac:dyDescent="0.3">
      <c r="A4597" s="1" t="s">
        <v>4738</v>
      </c>
      <c r="B4597" s="1" t="str">
        <f ca="1">IFERROR(__xludf.DUMMYFUNCTION("GOOGLETRANSLATE(A4597, ""en"", ""fr"")"),"AMÉLIORATION")</f>
        <v>AMÉLIORATION</v>
      </c>
      <c r="H4597" s="1" t="s">
        <v>4964</v>
      </c>
    </row>
    <row r="4598" spans="1:141" ht="14.25" customHeight="1" x14ac:dyDescent="0.3">
      <c r="A4598" s="1" t="s">
        <v>4739</v>
      </c>
      <c r="B4598" s="1" t="str">
        <f ca="1">IFERROR(__xludf.DUMMYFUNCTION("GOOGLETRANSLATE(A4598, ""en"", ""fr"")"),"Augmentation")</f>
        <v>Augmentation</v>
      </c>
      <c r="H4598" s="1" t="s">
        <v>4964</v>
      </c>
    </row>
    <row r="4599" spans="1:141" ht="14.25" customHeight="1" x14ac:dyDescent="0.3">
      <c r="A4599" s="1" t="s">
        <v>4740</v>
      </c>
      <c r="B4599" s="1" t="str">
        <f ca="1">IFERROR(__xludf.DUMMYFUNCTION("GOOGLETRANSLATE(A4599, ""en"", ""fr"")"),"Oural")</f>
        <v>Oural</v>
      </c>
      <c r="R4599" s="1" t="s">
        <v>15</v>
      </c>
      <c r="CS4599" s="1" t="s">
        <v>94</v>
      </c>
    </row>
    <row r="4600" spans="1:141" ht="14.25" customHeight="1" x14ac:dyDescent="0.3">
      <c r="A4600" s="1" t="s">
        <v>4741</v>
      </c>
      <c r="B4600" s="1" t="str">
        <f ca="1">IFERROR(__xludf.DUMMYFUNCTION("GOOGLETRANSLATE(A4600, ""en"", ""fr"")"),"Mélange de l'Oural")</f>
        <v>Mélange de l'Oural</v>
      </c>
      <c r="R4600" s="1" t="s">
        <v>15</v>
      </c>
      <c r="CS4600" s="1" t="s">
        <v>94</v>
      </c>
    </row>
    <row r="4601" spans="1:141" ht="14.25" customHeight="1" x14ac:dyDescent="0.3">
      <c r="A4601" s="1" t="s">
        <v>4742</v>
      </c>
      <c r="B4601" s="1" t="str">
        <f ca="1">IFERROR(__xludf.DUMMYFUNCTION("GOOGLETRANSLATE(A4601, ""en"", ""fr"")"),"urengoygroup")</f>
        <v>urengoygroup</v>
      </c>
      <c r="AK4601" s="1" t="s">
        <v>34</v>
      </c>
      <c r="BH4601" s="1" t="s">
        <v>57</v>
      </c>
      <c r="BW4601" s="1" t="s">
        <v>72</v>
      </c>
      <c r="DD4601" s="1" t="s">
        <v>105</v>
      </c>
    </row>
    <row r="4602" spans="1:141" ht="14.25" customHeight="1" x14ac:dyDescent="0.3">
      <c r="A4602" s="1" t="s">
        <v>4743</v>
      </c>
      <c r="B4602" s="1" t="str">
        <f ca="1">IFERROR(__xludf.DUMMYFUNCTION("GOOGLETRANSLATE(A4602, ""en"", ""fr"")"),"URGENCE")</f>
        <v>URGENCE</v>
      </c>
      <c r="D4602" s="1" t="s">
        <v>4963</v>
      </c>
    </row>
    <row r="4603" spans="1:141" ht="14.25" customHeight="1" x14ac:dyDescent="0.3">
      <c r="A4603" s="1" t="s">
        <v>4744</v>
      </c>
      <c r="B4603" s="1" t="str">
        <f ca="1">IFERROR(__xludf.DUMMYFUNCTION("GOOGLETRANSLATE(A4603, ""en"", ""fr"")"),"URGENT")</f>
        <v>URGENT</v>
      </c>
      <c r="D4603" s="1" t="s">
        <v>4963</v>
      </c>
    </row>
    <row r="4604" spans="1:141" ht="14.25" customHeight="1" x14ac:dyDescent="0.3">
      <c r="A4604" s="1" t="s">
        <v>4745</v>
      </c>
      <c r="B4604" s="1" t="str">
        <f ca="1">IFERROR(__xludf.DUMMYFUNCTION("GOOGLETRANSLATE(A4604, ""en"", ""fr"")"),"Urucu")</f>
        <v>Urucu</v>
      </c>
      <c r="R4604" s="1" t="s">
        <v>15</v>
      </c>
      <c r="CS4604" s="1" t="s">
        <v>94</v>
      </c>
    </row>
    <row r="4605" spans="1:141" ht="14.25" customHeight="1" x14ac:dyDescent="0.3">
      <c r="A4605" s="1" t="s">
        <v>4746</v>
      </c>
      <c r="B4605" s="1" t="str">
        <f ca="1">IFERROR(__xludf.DUMMYFUNCTION("GOOGLETRANSLATE(A4605, ""en"", ""fr"")"),"nous")</f>
        <v>nous</v>
      </c>
      <c r="J4605" s="1" t="s">
        <v>7</v>
      </c>
    </row>
    <row r="4606" spans="1:141" ht="14.25" customHeight="1" x14ac:dyDescent="0.3">
      <c r="A4606" s="1" t="s">
        <v>4747</v>
      </c>
      <c r="B4606" s="1" t="str">
        <f ca="1">IFERROR(__xludf.DUMMYFUNCTION("GOOGLETRANSLATE(A4606, ""en"", ""fr"")"),"Etats-Unis")</f>
        <v>Etats-Unis</v>
      </c>
      <c r="AR4606" s="1" t="s">
        <v>41</v>
      </c>
      <c r="BI4606" s="1" t="s">
        <v>58</v>
      </c>
      <c r="EK4606" s="1" t="s">
        <v>138</v>
      </c>
    </row>
    <row r="4607" spans="1:141" ht="14.25" customHeight="1" x14ac:dyDescent="0.3">
      <c r="A4607" s="1" t="s">
        <v>4748</v>
      </c>
      <c r="B4607" s="1" t="str">
        <f ca="1">IFERROR(__xludf.DUMMYFUNCTION("GOOGLETRANSLATE(A4607, ""en"", ""fr"")"),"vie utile")</f>
        <v>vie utile</v>
      </c>
      <c r="CR4607" s="1" t="s">
        <v>93</v>
      </c>
    </row>
    <row r="4608" spans="1:141" ht="14.25" customHeight="1" x14ac:dyDescent="0.3">
      <c r="A4608" s="1" t="s">
        <v>4749</v>
      </c>
      <c r="B4608" s="1" t="str">
        <f ca="1">IFERROR(__xludf.DUMMYFUNCTION("GOOGLETRANSLATE(A4608, ""en"", ""fr"")"),"ust-balykskoe")</f>
        <v>ust-balykskoe</v>
      </c>
      <c r="AK4608" s="1" t="s">
        <v>34</v>
      </c>
      <c r="BH4608" s="1" t="s">
        <v>57</v>
      </c>
      <c r="BW4608" s="1" t="s">
        <v>72</v>
      </c>
      <c r="DD4608" s="1" t="s">
        <v>105</v>
      </c>
    </row>
    <row r="4609" spans="1:136" ht="14.25" customHeight="1" x14ac:dyDescent="0.3">
      <c r="A4609" s="1" t="s">
        <v>4750</v>
      </c>
      <c r="B4609" s="1" t="str">
        <f ca="1">IFERROR(__xludf.DUMMYFUNCTION("GOOGLETRANSLATE(A4609, ""en"", ""fr"")"),"habituel")</f>
        <v>habituel</v>
      </c>
      <c r="J4609" s="1" t="s">
        <v>7</v>
      </c>
    </row>
    <row r="4610" spans="1:136" ht="14.25" customHeight="1" x14ac:dyDescent="0.3">
      <c r="A4610" s="1" t="s">
        <v>4751</v>
      </c>
      <c r="B4610" s="1" t="str">
        <f ca="1">IFERROR(__xludf.DUMMYFUNCTION("GOOGLETRANSLATE(A4610, ""en"", ""fr"")"),"USURAIRE")</f>
        <v>USURAIRE</v>
      </c>
      <c r="D4610" s="1" t="s">
        <v>4963</v>
      </c>
    </row>
    <row r="4611" spans="1:136" ht="14.25" customHeight="1" x14ac:dyDescent="0.3">
      <c r="A4611" s="1" t="s">
        <v>4752</v>
      </c>
      <c r="B4611" s="1" t="str">
        <f ca="1">IFERROR(__xludf.DUMMYFUNCTION("GOOGLETRANSLATE(A4611, ""en"", ""fr"")"),"USURPER")</f>
        <v>USURPER</v>
      </c>
      <c r="D4611" s="1" t="s">
        <v>4963</v>
      </c>
    </row>
    <row r="4612" spans="1:136" ht="14.25" customHeight="1" x14ac:dyDescent="0.3">
      <c r="A4612" s="1" t="s">
        <v>4753</v>
      </c>
      <c r="B4612" s="1" t="str">
        <f ca="1">IFERROR(__xludf.DUMMYFUNCTION("GOOGLETRANSLATE(A4612, ""en"", ""fr"")"),"Usurpé")</f>
        <v>Usurpé</v>
      </c>
      <c r="D4612" s="1" t="s">
        <v>4963</v>
      </c>
    </row>
    <row r="4613" spans="1:136" ht="14.25" customHeight="1" x14ac:dyDescent="0.3">
      <c r="A4613" s="1" t="s">
        <v>4754</v>
      </c>
      <c r="B4613" s="1" t="str">
        <f ca="1">IFERROR(__xludf.DUMMYFUNCTION("GOOGLETRANSLATE(A4613, ""en"", ""fr"")"),"Usurpant")</f>
        <v>Usurpant</v>
      </c>
      <c r="D4613" s="1" t="s">
        <v>4963</v>
      </c>
    </row>
    <row r="4614" spans="1:136" ht="14.25" customHeight="1" x14ac:dyDescent="0.3">
      <c r="A4614" s="1" t="s">
        <v>4755</v>
      </c>
      <c r="B4614" s="1" t="str">
        <f ca="1">IFERROR(__xludf.DUMMYFUNCTION("GOOGLETRANSLATE(A4614, ""en"", ""fr"")"),"Usurpes")</f>
        <v>Usurpes</v>
      </c>
      <c r="D4614" s="1" t="s">
        <v>4963</v>
      </c>
    </row>
    <row r="4615" spans="1:136" ht="14.25" customHeight="1" x14ac:dyDescent="0.3">
      <c r="A4615" s="1" t="s">
        <v>4756</v>
      </c>
      <c r="B4615" s="1" t="str">
        <f ca="1">IFERROR(__xludf.DUMMYFUNCTION("GOOGLETRANSLATE(A4615, ""en"", ""fr"")"),"USURE")</f>
        <v>USURE</v>
      </c>
      <c r="D4615" s="1" t="s">
        <v>4963</v>
      </c>
    </row>
    <row r="4616" spans="1:136" ht="14.25" customHeight="1" x14ac:dyDescent="0.3">
      <c r="A4616" s="1" t="s">
        <v>4757</v>
      </c>
      <c r="B4616" s="1" t="str">
        <f ca="1">IFERROR(__xludf.DUMMYFUNCTION("GOOGLETRANSLATE(A4616, ""en"", ""fr"")"),"secteur des services publics")</f>
        <v>secteur des services publics</v>
      </c>
      <c r="M4616" s="1" t="s">
        <v>10</v>
      </c>
    </row>
    <row r="4617" spans="1:136" ht="14.25" customHeight="1" x14ac:dyDescent="0.3">
      <c r="A4617" s="1" t="s">
        <v>4758</v>
      </c>
      <c r="B4617" s="1" t="str">
        <f ca="1">IFERROR(__xludf.DUMMYFUNCTION("GOOGLETRANSLATE(A4617, ""en"", ""fr"")"),"actifs des services publics")</f>
        <v>actifs des services publics</v>
      </c>
      <c r="CR4617" s="1" t="s">
        <v>93</v>
      </c>
    </row>
    <row r="4618" spans="1:136" ht="14.25" customHeight="1" x14ac:dyDescent="0.3">
      <c r="A4618" s="1" t="s">
        <v>4759</v>
      </c>
      <c r="B4618" s="1" t="str">
        <f ca="1">IFERROR(__xludf.DUMMYFUNCTION("GOOGLETRANSLATE(A4618, ""en"", ""fr"")"),"uzen")</f>
        <v>uzen</v>
      </c>
      <c r="AK4618" s="1" t="s">
        <v>34</v>
      </c>
      <c r="CB4618" s="1" t="s">
        <v>77</v>
      </c>
      <c r="DD4618" s="1" t="s">
        <v>105</v>
      </c>
    </row>
    <row r="4619" spans="1:136" ht="14.25" customHeight="1" x14ac:dyDescent="0.3">
      <c r="A4619" s="1" t="s">
        <v>4760</v>
      </c>
      <c r="B4619" s="1" t="str">
        <f ca="1">IFERROR(__xludf.DUMMYFUNCTION("GOOGLETRANSLATE(A4619, ""en"", ""fr"")"),"Valero")</f>
        <v>Valero</v>
      </c>
      <c r="BI4619" s="1" t="s">
        <v>58</v>
      </c>
      <c r="DT4619" s="1" t="s">
        <v>121</v>
      </c>
    </row>
    <row r="4620" spans="1:136" ht="14.25" customHeight="1" x14ac:dyDescent="0.3">
      <c r="A4620" s="1" t="s">
        <v>4761</v>
      </c>
      <c r="B4620" s="1" t="str">
        <f ca="1">IFERROR(__xludf.DUMMYFUNCTION("GOOGLETRANSLATE(A4620, ""en"", ""fr"")"),"raffinerie de Valero")</f>
        <v>raffinerie de Valero</v>
      </c>
      <c r="BF4620" s="1" t="s">
        <v>55</v>
      </c>
      <c r="BI4620" s="1" t="s">
        <v>58</v>
      </c>
      <c r="EB4620" s="1" t="s">
        <v>129</v>
      </c>
    </row>
    <row r="4621" spans="1:136" ht="14.25" customHeight="1" x14ac:dyDescent="0.3">
      <c r="A4621" s="1" t="s">
        <v>4762</v>
      </c>
      <c r="B4621" s="1" t="str">
        <f ca="1">IFERROR(__xludf.DUMMYFUNCTION("GOOGLETRANSLATE(A4621, ""en"", ""fr"")"),"PRÉCIEUX")</f>
        <v>PRÉCIEUX</v>
      </c>
      <c r="H4621" s="1" t="s">
        <v>4964</v>
      </c>
    </row>
    <row r="4622" spans="1:136" ht="14.25" customHeight="1" x14ac:dyDescent="0.3">
      <c r="A4622" s="1" t="s">
        <v>4763</v>
      </c>
      <c r="B4622" s="1" t="str">
        <f ca="1">IFERROR(__xludf.DUMMYFUNCTION("GOOGLETRANSLATE(A4622, ""en"", ""fr"")"),"valeur")</f>
        <v>valeur</v>
      </c>
      <c r="CR4622" s="1" t="s">
        <v>93</v>
      </c>
    </row>
    <row r="4623" spans="1:136" ht="14.25" customHeight="1" x14ac:dyDescent="0.3">
      <c r="A4623" s="1" t="s">
        <v>4764</v>
      </c>
      <c r="B4623" s="1" t="str">
        <f ca="1">IFERROR(__xludf.DUMMYFUNCTION("GOOGLETRANSLATE(A4623, ""en"", ""fr"")"),"valeur à risque")</f>
        <v>valeur à risque</v>
      </c>
      <c r="CR4623" s="1" t="s">
        <v>93</v>
      </c>
      <c r="EF4623" s="1" t="s">
        <v>133</v>
      </c>
    </row>
    <row r="4624" spans="1:136" ht="14.25" customHeight="1" x14ac:dyDescent="0.3">
      <c r="A4624" s="1" t="s">
        <v>4765</v>
      </c>
      <c r="B4624" s="1" t="str">
        <f ca="1">IFERROR(__xludf.DUMMYFUNCTION("GOOGLETRANSLATE(A4624, ""en"", ""fr"")"),"VANDALISME")</f>
        <v>VANDALISME</v>
      </c>
      <c r="D4624" s="1" t="s">
        <v>4963</v>
      </c>
    </row>
    <row r="4625" spans="1:136" ht="14.25" customHeight="1" x14ac:dyDescent="0.3">
      <c r="A4625" s="1" t="s">
        <v>4766</v>
      </c>
      <c r="B4625" s="1" t="str">
        <f ca="1">IFERROR(__xludf.DUMMYFUNCTION("GOOGLETRANSLATE(A4625, ""en"", ""fr"")"),"vankor")</f>
        <v>vankor</v>
      </c>
      <c r="AK4625" s="1" t="s">
        <v>34</v>
      </c>
      <c r="BH4625" s="1" t="s">
        <v>57</v>
      </c>
      <c r="BW4625" s="1" t="s">
        <v>72</v>
      </c>
      <c r="DD4625" s="1" t="s">
        <v>105</v>
      </c>
    </row>
    <row r="4626" spans="1:136" ht="14.25" customHeight="1" x14ac:dyDescent="0.3">
      <c r="A4626" s="1" t="s">
        <v>4767</v>
      </c>
      <c r="B4626" s="1" t="str">
        <f ca="1">IFERROR(__xludf.DUMMYFUNCTION("GOOGLETRANSLATE(A4626, ""en"", ""fr"")"),"var")</f>
        <v>var</v>
      </c>
      <c r="CR4626" s="1" t="s">
        <v>93</v>
      </c>
      <c r="EF4626" s="1" t="s">
        <v>133</v>
      </c>
    </row>
    <row r="4627" spans="1:136" ht="14.25" customHeight="1" x14ac:dyDescent="0.3">
      <c r="A4627" s="1" t="s">
        <v>4768</v>
      </c>
      <c r="B4627" s="1" t="str">
        <f ca="1">IFERROR(__xludf.DUMMYFUNCTION("GOOGLETRANSLATE(A4627, ""en"", ""fr"")"),"Varg")</f>
        <v>Varg</v>
      </c>
      <c r="R4627" s="1" t="s">
        <v>15</v>
      </c>
      <c r="CS4627" s="1" t="s">
        <v>94</v>
      </c>
    </row>
    <row r="4628" spans="1:136" ht="14.25" customHeight="1" x14ac:dyDescent="0.3">
      <c r="A4628" s="1" t="s">
        <v>4769</v>
      </c>
      <c r="B4628" s="1" t="str">
        <f ca="1">IFERROR(__xludf.DUMMYFUNCTION("GOOGLETRANSLATE(A4628, ""en"", ""fr"")"),"coût variable")</f>
        <v>coût variable</v>
      </c>
      <c r="CR4628" s="1" t="s">
        <v>93</v>
      </c>
    </row>
    <row r="4629" spans="1:136" ht="14.25" customHeight="1" x14ac:dyDescent="0.3">
      <c r="A4629" s="1" t="s">
        <v>4770</v>
      </c>
      <c r="B4629" s="1" t="str">
        <f ca="1">IFERROR(__xludf.DUMMYFUNCTION("GOOGLETRANSLATE(A4629, ""en"", ""fr"")"),"coûts variables")</f>
        <v>coûts variables</v>
      </c>
      <c r="CR4629" s="1" t="s">
        <v>93</v>
      </c>
    </row>
    <row r="4630" spans="1:136" ht="14.25" customHeight="1" x14ac:dyDescent="0.3">
      <c r="A4630" s="1" t="s">
        <v>4771</v>
      </c>
      <c r="B4630" s="1" t="str">
        <f ca="1">IFERROR(__xludf.DUMMYFUNCTION("GOOGLETRANSLATE(A4630, ""en"", ""fr"")"),"taux d'intérêt variable")</f>
        <v>taux d'intérêt variable</v>
      </c>
      <c r="M4630" s="1" t="s">
        <v>10</v>
      </c>
    </row>
    <row r="4631" spans="1:136" ht="14.25" customHeight="1" x14ac:dyDescent="0.3">
      <c r="A4631" s="1" t="s">
        <v>4772</v>
      </c>
      <c r="B4631" s="1" t="str">
        <f ca="1">IFERROR(__xludf.DUMMYFUNCTION("GOOGLETRANSLATE(A4631, ""en"", ""fr"")"),"prix variable")</f>
        <v>prix variable</v>
      </c>
      <c r="CR4631" s="1" t="s">
        <v>93</v>
      </c>
    </row>
    <row r="4632" spans="1:136" ht="14.25" customHeight="1" x14ac:dyDescent="0.3">
      <c r="A4632" s="1" t="s">
        <v>4773</v>
      </c>
      <c r="B4632" s="1" t="str">
        <f ca="1">IFERROR(__xludf.DUMMYFUNCTION("GOOGLETRANSLATE(A4632, ""en"", ""fr"")"),"taux variable")</f>
        <v>taux variable</v>
      </c>
      <c r="CR4632" s="1" t="s">
        <v>93</v>
      </c>
    </row>
    <row r="4633" spans="1:136" ht="14.25" customHeight="1" x14ac:dyDescent="0.3">
      <c r="A4633" s="1" t="s">
        <v>4774</v>
      </c>
      <c r="B4633" s="1" t="str">
        <f ca="1">IFERROR(__xludf.DUMMYFUNCTION("GOOGLETRANSLATE(A4633, ""en"", ""fr"")"),"variance")</f>
        <v>variance</v>
      </c>
      <c r="CR4633" s="1" t="s">
        <v>93</v>
      </c>
    </row>
    <row r="4634" spans="1:136" ht="14.25" customHeight="1" x14ac:dyDescent="0.3">
      <c r="A4634" s="1" t="s">
        <v>4775</v>
      </c>
      <c r="B4634" s="1" t="str">
        <f ca="1">IFERROR(__xludf.DUMMYFUNCTION("GOOGLETRANSLATE(A4634, ""en"", ""fr"")"),"divers")</f>
        <v>divers</v>
      </c>
      <c r="J4634" s="1" t="s">
        <v>7</v>
      </c>
    </row>
    <row r="4635" spans="1:136" ht="14.25" customHeight="1" x14ac:dyDescent="0.3">
      <c r="A4635" s="1" t="s">
        <v>4776</v>
      </c>
      <c r="B4635" s="1" t="str">
        <f ca="1">IFERROR(__xludf.DUMMYFUNCTION("GOOGLETRANSLATE(A4635, ""en"", ""fr"")"),"Vasconia")</f>
        <v>Vasconia</v>
      </c>
      <c r="R4635" s="1" t="s">
        <v>15</v>
      </c>
      <c r="CS4635" s="1" t="s">
        <v>94</v>
      </c>
    </row>
    <row r="4636" spans="1:136" ht="14.25" customHeight="1" x14ac:dyDescent="0.3">
      <c r="A4636" s="1" t="s">
        <v>4777</v>
      </c>
      <c r="B4636" s="1" t="str">
        <f ca="1">IFERROR(__xludf.DUMMYFUNCTION("GOOGLETRANSLATE(A4636, ""en"", ""fr"")"),"vatyeganskoye")</f>
        <v>vatyeganskoye</v>
      </c>
      <c r="AK4636" s="1" t="s">
        <v>34</v>
      </c>
      <c r="BH4636" s="1" t="s">
        <v>57</v>
      </c>
      <c r="BW4636" s="1" t="s">
        <v>72</v>
      </c>
      <c r="DD4636" s="1" t="s">
        <v>105</v>
      </c>
    </row>
    <row r="4637" spans="1:136" ht="14.25" customHeight="1" x14ac:dyDescent="0.3">
      <c r="A4637" s="1" t="s">
        <v>4778</v>
      </c>
      <c r="B4637" s="1" t="str">
        <f ca="1">IFERROR(__xludf.DUMMYFUNCTION("GOOGLETRANSLATE(A4637, ""en"", ""fr"")"),"VERDICT")</f>
        <v>VERDICT</v>
      </c>
      <c r="D4637" s="1" t="s">
        <v>4963</v>
      </c>
    </row>
    <row r="4638" spans="1:136" ht="14.25" customHeight="1" x14ac:dyDescent="0.3">
      <c r="A4638" s="1" t="s">
        <v>4779</v>
      </c>
      <c r="B4638" s="1" t="str">
        <f ca="1">IFERROR(__xludf.DUMMYFUNCTION("GOOGLETRANSLATE(A4638, ""en"", ""fr"")"),"Verdic")</f>
        <v>Verdic</v>
      </c>
      <c r="D4638" s="1" t="s">
        <v>4963</v>
      </c>
    </row>
    <row r="4639" spans="1:136" ht="14.25" customHeight="1" x14ac:dyDescent="0.3">
      <c r="A4639" s="1" t="s">
        <v>4780</v>
      </c>
      <c r="B4639" s="1" t="str">
        <f ca="1">IFERROR(__xludf.DUMMYFUNCTION("GOOGLETRANSLATE(A4639, ""en"", ""fr"")"),"verhne-chonskoye")</f>
        <v>verhne-chonskoye</v>
      </c>
      <c r="AK4639" s="1" t="s">
        <v>34</v>
      </c>
      <c r="BH4639" s="1" t="s">
        <v>57</v>
      </c>
      <c r="BW4639" s="1" t="s">
        <v>72</v>
      </c>
      <c r="DD4639" s="1" t="s">
        <v>105</v>
      </c>
    </row>
    <row r="4640" spans="1:136" ht="14.25" customHeight="1" x14ac:dyDescent="0.3">
      <c r="A4640" s="1" t="s">
        <v>4781</v>
      </c>
      <c r="B4640" s="1" t="str">
        <f ca="1">IFERROR(__xludf.DUMMYFUNCTION("GOOGLETRANSLATE(A4640, ""en"", ""fr"")"),"POLYVALENT")</f>
        <v>POLYVALENT</v>
      </c>
      <c r="H4640" s="1" t="s">
        <v>4964</v>
      </c>
    </row>
    <row r="4641" spans="1:96" ht="14.25" customHeight="1" x14ac:dyDescent="0.3">
      <c r="A4641" s="1" t="s">
        <v>4782</v>
      </c>
      <c r="B4641" s="1" t="str">
        <f ca="1">IFERROR(__xludf.DUMMYFUNCTION("GOOGLETRANSLATE(A4641, ""en"", ""fr"")"),"POLYVALENCE")</f>
        <v>POLYVALENCE</v>
      </c>
      <c r="H4641" s="1" t="s">
        <v>4964</v>
      </c>
    </row>
    <row r="4642" spans="1:96" ht="14.25" customHeight="1" x14ac:dyDescent="0.3">
      <c r="A4642" s="1" t="s">
        <v>4783</v>
      </c>
      <c r="B4642" s="1" t="str">
        <f ca="1">IFERROR(__xludf.DUMMYFUNCTION("GOOGLETRANSLATE(A4642, ""en"", ""fr"")"),"équité verticale")</f>
        <v>équité verticale</v>
      </c>
      <c r="M4642" s="1" t="s">
        <v>10</v>
      </c>
    </row>
    <row r="4643" spans="1:96" ht="14.25" customHeight="1" x14ac:dyDescent="0.3">
      <c r="A4643" s="1" t="s">
        <v>4784</v>
      </c>
      <c r="B4643" s="1" t="str">
        <f ca="1">IFERROR(__xludf.DUMMYFUNCTION("GOOGLETRANSLATE(A4643, ""en"", ""fr"")"),"intégration verticale")</f>
        <v>intégration verticale</v>
      </c>
      <c r="M4643" s="1" t="s">
        <v>10</v>
      </c>
    </row>
    <row r="4644" spans="1:96" ht="14.25" customHeight="1" x14ac:dyDescent="0.3">
      <c r="A4644" s="1" t="s">
        <v>4785</v>
      </c>
      <c r="B4644" s="1" t="str">
        <f ca="1">IFERROR(__xludf.DUMMYFUNCTION("GOOGLETRANSLATE(A4644, ""en"", ""fr"")"),"marché vertical")</f>
        <v>marché vertical</v>
      </c>
      <c r="M4644" s="1" t="s">
        <v>10</v>
      </c>
    </row>
    <row r="4645" spans="1:96" ht="14.25" customHeight="1" x14ac:dyDescent="0.3">
      <c r="A4645" s="1" t="s">
        <v>4786</v>
      </c>
      <c r="B4645" s="1" t="str">
        <f ca="1">IFERROR(__xludf.DUMMYFUNCTION("GOOGLETRANSLATE(A4645, ""en"", ""fr"")"),"propagation verticale")</f>
        <v>propagation verticale</v>
      </c>
      <c r="CR4645" s="1" t="s">
        <v>93</v>
      </c>
    </row>
    <row r="4646" spans="1:96" ht="14.25" customHeight="1" x14ac:dyDescent="0.3">
      <c r="A4646" s="1" t="s">
        <v>4787</v>
      </c>
      <c r="B4646" s="1" t="str">
        <f ca="1">IFERROR(__xludf.DUMMYFUNCTION("GOOGLETRANSLATE(A4646, ""en"", ""fr"")"),"très")</f>
        <v>très</v>
      </c>
      <c r="J4646" s="1" t="s">
        <v>7</v>
      </c>
    </row>
    <row r="4647" spans="1:96" ht="14.25" customHeight="1" x14ac:dyDescent="0.3">
      <c r="A4647" s="1" t="s">
        <v>4788</v>
      </c>
      <c r="B4647" s="1" t="str">
        <f ca="1">IFERROR(__xludf.DUMMYFUNCTION("GOOGLETRANSLATE(A4647, ""en"", ""fr"")"),"Veto")</f>
        <v>Veto</v>
      </c>
      <c r="D4647" s="1" t="s">
        <v>4963</v>
      </c>
    </row>
    <row r="4648" spans="1:96" ht="14.25" customHeight="1" x14ac:dyDescent="0.3">
      <c r="A4648" s="1" t="s">
        <v>4789</v>
      </c>
      <c r="B4648" s="1" t="str">
        <f ca="1">IFERROR(__xludf.DUMMYFUNCTION("GOOGLETRANSLATE(A4648, ""en"", ""fr"")"),"Dynamisme")</f>
        <v>Dynamisme</v>
      </c>
      <c r="H4648" s="1" t="s">
        <v>4964</v>
      </c>
    </row>
    <row r="4649" spans="1:96" ht="14.25" customHeight="1" x14ac:dyDescent="0.3">
      <c r="A4649" s="1" t="s">
        <v>4790</v>
      </c>
      <c r="B4649" s="1" t="str">
        <f ca="1">IFERROR(__xludf.DUMMYFUNCTION("GOOGLETRANSLATE(A4649, ""en"", ""fr"")"),"VIBRANT")</f>
        <v>VIBRANT</v>
      </c>
      <c r="H4649" s="1" t="s">
        <v>4964</v>
      </c>
    </row>
    <row r="4650" spans="1:96" ht="14.25" customHeight="1" x14ac:dyDescent="0.3">
      <c r="A4650" s="1" t="s">
        <v>4791</v>
      </c>
      <c r="B4650" s="1" t="str">
        <f ca="1">IFERROR(__xludf.DUMMYFUNCTION("GOOGLETRANSLATE(A4650, ""en"", ""fr"")"),"Victimes")</f>
        <v>Victimes</v>
      </c>
      <c r="D4650" s="1" t="s">
        <v>4963</v>
      </c>
    </row>
    <row r="4651" spans="1:96" ht="14.25" customHeight="1" x14ac:dyDescent="0.3">
      <c r="A4651" s="1" t="s">
        <v>4792</v>
      </c>
      <c r="B4651" s="1" t="str">
        <f ca="1">IFERROR(__xludf.DUMMYFUNCTION("GOOGLETRANSLATE(A4651, ""en"", ""fr"")"),"VIOLER")</f>
        <v>VIOLER</v>
      </c>
      <c r="D4651" s="1" t="s">
        <v>4963</v>
      </c>
    </row>
    <row r="4652" spans="1:96" ht="14.25" customHeight="1" x14ac:dyDescent="0.3">
      <c r="A4652" s="1" t="s">
        <v>4793</v>
      </c>
      <c r="B4652" s="1" t="str">
        <f ca="1">IFERROR(__xludf.DUMMYFUNCTION("GOOGLETRANSLATE(A4652, ""en"", ""fr"")"),"Violé")</f>
        <v>Violé</v>
      </c>
      <c r="D4652" s="1" t="s">
        <v>4963</v>
      </c>
    </row>
    <row r="4653" spans="1:96" ht="14.25" customHeight="1" x14ac:dyDescent="0.3">
      <c r="A4653" s="1" t="s">
        <v>4794</v>
      </c>
      <c r="B4653" s="1" t="str">
        <f ca="1">IFERROR(__xludf.DUMMYFUNCTION("GOOGLETRANSLATE(A4653, ""en"", ""fr"")"),"Viole")</f>
        <v>Viole</v>
      </c>
      <c r="D4653" s="1" t="s">
        <v>4963</v>
      </c>
    </row>
    <row r="4654" spans="1:96" ht="14.25" customHeight="1" x14ac:dyDescent="0.3">
      <c r="A4654" s="1" t="s">
        <v>4795</v>
      </c>
      <c r="B4654" s="1" t="str">
        <f ca="1">IFERROR(__xludf.DUMMYFUNCTION("GOOGLETRANSLATE(A4654, ""en"", ""fr"")"),"Violant")</f>
        <v>Violant</v>
      </c>
      <c r="D4654" s="1" t="s">
        <v>4963</v>
      </c>
    </row>
    <row r="4655" spans="1:96" ht="14.25" customHeight="1" x14ac:dyDescent="0.3">
      <c r="A4655" s="1" t="s">
        <v>4796</v>
      </c>
      <c r="B4655" s="1" t="str">
        <f ca="1">IFERROR(__xludf.DUMMYFUNCTION("GOOGLETRANSLATE(A4655, ""en"", ""fr"")"),"VIOLATION")</f>
        <v>VIOLATION</v>
      </c>
      <c r="D4655" s="1" t="s">
        <v>4963</v>
      </c>
    </row>
    <row r="4656" spans="1:96" ht="14.25" customHeight="1" x14ac:dyDescent="0.3">
      <c r="A4656" s="1" t="s">
        <v>4797</v>
      </c>
      <c r="B4656" s="1" t="str">
        <f ca="1">IFERROR(__xludf.DUMMYFUNCTION("GOOGLETRANSLATE(A4656, ""en"", ""fr"")"),"Violations")</f>
        <v>Violations</v>
      </c>
      <c r="D4656" s="1" t="s">
        <v>4963</v>
      </c>
    </row>
    <row r="4657" spans="1:97" ht="14.25" customHeight="1" x14ac:dyDescent="0.3">
      <c r="A4657" s="1" t="s">
        <v>4798</v>
      </c>
      <c r="B4657" s="1" t="str">
        <f ca="1">IFERROR(__xludf.DUMMYFUNCTION("GOOGLETRANSLATE(A4657, ""en"", ""fr"")"),"Violation")</f>
        <v>Violation</v>
      </c>
      <c r="D4657" s="1" t="s">
        <v>4963</v>
      </c>
    </row>
    <row r="4658" spans="1:97" ht="14.25" customHeight="1" x14ac:dyDescent="0.3">
      <c r="A4658" s="1" t="s">
        <v>4799</v>
      </c>
      <c r="B4658" s="1" t="str">
        <f ca="1">IFERROR(__xludf.DUMMYFUNCTION("GOOGLETRANSLATE(A4658, ""en"", ""fr"")"),"VIOLATEUR")</f>
        <v>VIOLATEUR</v>
      </c>
      <c r="D4658" s="1" t="s">
        <v>4963</v>
      </c>
    </row>
    <row r="4659" spans="1:97" ht="14.25" customHeight="1" x14ac:dyDescent="0.3">
      <c r="A4659" s="1" t="s">
        <v>4800</v>
      </c>
      <c r="B4659" s="1" t="str">
        <f ca="1">IFERROR(__xludf.DUMMYFUNCTION("GOOGLETRANSLATE(A4659, ""en"", ""fr"")"),"Violateurs")</f>
        <v>Violateurs</v>
      </c>
      <c r="D4659" s="1" t="s">
        <v>4963</v>
      </c>
    </row>
    <row r="4660" spans="1:97" ht="14.25" customHeight="1" x14ac:dyDescent="0.3">
      <c r="A4660" s="1" t="s">
        <v>4801</v>
      </c>
      <c r="B4660" s="1" t="str">
        <f ca="1">IFERROR(__xludf.DUMMYFUNCTION("GOOGLETRANSLATE(A4660, ""en"", ""fr"")"),"VIOLENCE")</f>
        <v>VIOLENCE</v>
      </c>
      <c r="D4660" s="1" t="s">
        <v>4963</v>
      </c>
    </row>
    <row r="4661" spans="1:97" ht="14.25" customHeight="1" x14ac:dyDescent="0.3">
      <c r="A4661" s="1" t="s">
        <v>4802</v>
      </c>
      <c r="B4661" s="1" t="str">
        <f ca="1">IFERROR(__xludf.DUMMYFUNCTION("GOOGLETRANSLATE(A4661, ""en"", ""fr"")"),"VIOLENT")</f>
        <v>VIOLENT</v>
      </c>
      <c r="D4661" s="1" t="s">
        <v>4963</v>
      </c>
    </row>
    <row r="4662" spans="1:97" ht="14.25" customHeight="1" x14ac:dyDescent="0.3">
      <c r="A4662" s="1" t="s">
        <v>4803</v>
      </c>
      <c r="B4662" s="1" t="str">
        <f ca="1">IFERROR(__xludf.DUMMYFUNCTION("GOOGLETRANSLATE(A4662, ""en"", ""fr"")"),"VIOLEMMENT")</f>
        <v>VIOLEMMENT</v>
      </c>
      <c r="D4662" s="1" t="s">
        <v>4963</v>
      </c>
    </row>
    <row r="4663" spans="1:97" ht="14.25" customHeight="1" x14ac:dyDescent="0.3">
      <c r="A4663" s="1" t="s">
        <v>4804</v>
      </c>
      <c r="B4663" s="1" t="str">
        <f ca="1">IFERROR(__xludf.DUMMYFUNCTION("GOOGLETRANSLATE(A4663, ""en"", ""fr"")"),"Viscosité")</f>
        <v>Viscosité</v>
      </c>
      <c r="E4663" s="1" t="s">
        <v>3</v>
      </c>
    </row>
    <row r="4664" spans="1:97" ht="14.25" customHeight="1" x14ac:dyDescent="0.3">
      <c r="A4664" s="1" t="s">
        <v>4805</v>
      </c>
      <c r="B4664" s="1" t="str">
        <f ca="1">IFERROR(__xludf.DUMMYFUNCTION("GOOGLETRANSLATE(A4664, ""en"", ""fr"")"),"Indice de viscosité")</f>
        <v>Indice de viscosité</v>
      </c>
      <c r="E4664" s="1" t="s">
        <v>3</v>
      </c>
    </row>
    <row r="4665" spans="1:97" ht="14.25" customHeight="1" x14ac:dyDescent="0.3">
      <c r="A4665" s="1" t="s">
        <v>4806</v>
      </c>
      <c r="B4665" s="1" t="str">
        <f ca="1">IFERROR(__xludf.DUMMYFUNCTION("GOOGLETRANSLATE(A4665, ""en"", ""fr"")"),"Modificateur de viscosité")</f>
        <v>Modificateur de viscosité</v>
      </c>
      <c r="E4665" s="1" t="s">
        <v>3</v>
      </c>
    </row>
    <row r="4666" spans="1:97" ht="14.25" customHeight="1" x14ac:dyDescent="0.3">
      <c r="A4666" s="1" t="s">
        <v>4807</v>
      </c>
      <c r="B4666" s="1" t="str">
        <f ca="1">IFERROR(__xludf.DUMMYFUNCTION("GOOGLETRANSLATE(A4666, ""en"", ""fr"")"),"VICIER")</f>
        <v>VICIER</v>
      </c>
      <c r="D4666" s="1" t="s">
        <v>4963</v>
      </c>
    </row>
    <row r="4667" spans="1:97" ht="14.25" customHeight="1" x14ac:dyDescent="0.3">
      <c r="A4667" s="1" t="s">
        <v>4808</v>
      </c>
      <c r="B4667" s="1" t="str">
        <f ca="1">IFERROR(__xludf.DUMMYFUNCTION("GOOGLETRANSLATE(A4667, ""en"", ""fr"")"),"VICIÉ")</f>
        <v>VICIÉ</v>
      </c>
      <c r="D4667" s="1" t="s">
        <v>4963</v>
      </c>
    </row>
    <row r="4668" spans="1:97" ht="14.25" customHeight="1" x14ac:dyDescent="0.3">
      <c r="A4668" s="1" t="s">
        <v>4809</v>
      </c>
      <c r="B4668" s="1" t="str">
        <f ca="1">IFERROR(__xludf.DUMMYFUNCTION("GOOGLETRANSLATE(A4668, ""en"", ""fr"")"),"Viciées")</f>
        <v>Viciées</v>
      </c>
      <c r="D4668" s="1" t="s">
        <v>4963</v>
      </c>
    </row>
    <row r="4669" spans="1:97" ht="14.25" customHeight="1" x14ac:dyDescent="0.3">
      <c r="A4669" s="1" t="s">
        <v>4810</v>
      </c>
      <c r="B4669" s="1" t="str">
        <f ca="1">IFERROR(__xludf.DUMMYFUNCTION("GOOGLETRANSLATE(A4669, ""en"", ""fr"")"),"Viciation")</f>
        <v>Viciation</v>
      </c>
      <c r="D4669" s="1" t="s">
        <v>4963</v>
      </c>
    </row>
    <row r="4670" spans="1:97" ht="14.25" customHeight="1" x14ac:dyDescent="0.3">
      <c r="A4670" s="1" t="s">
        <v>4811</v>
      </c>
      <c r="B4670" s="1" t="str">
        <f ca="1">IFERROR(__xludf.DUMMYFUNCTION("GOOGLETRANSLATE(A4670, ""en"", ""fr"")"),"VICIATION")</f>
        <v>VICIATION</v>
      </c>
      <c r="D4670" s="1" t="s">
        <v>4963</v>
      </c>
    </row>
    <row r="4671" spans="1:97" ht="14.25" customHeight="1" x14ac:dyDescent="0.3">
      <c r="A4671" s="1" t="s">
        <v>4812</v>
      </c>
      <c r="B4671" s="1" t="str">
        <f ca="1">IFERROR(__xludf.DUMMYFUNCTION("GOOGLETRANSLATE(A4671, ""en"", ""fr"")"),"Vityaz")</f>
        <v>Vityaz</v>
      </c>
      <c r="R4671" s="1" t="s">
        <v>15</v>
      </c>
      <c r="CS4671" s="1" t="s">
        <v>94</v>
      </c>
    </row>
    <row r="4672" spans="1:97" ht="14.25" customHeight="1" x14ac:dyDescent="0.3">
      <c r="A4672" s="1" t="s">
        <v>4813</v>
      </c>
      <c r="B4672" s="1" t="str">
        <f ca="1">IFERROR(__xludf.DUMMYFUNCTION("GOOGLETRANSLATE(A4672, ""en"", ""fr"")"),"Vide")</f>
        <v>Vide</v>
      </c>
      <c r="D4672" s="1" t="s">
        <v>4963</v>
      </c>
    </row>
    <row r="4673" spans="1:136" ht="14.25" customHeight="1" x14ac:dyDescent="0.3">
      <c r="A4673" s="1" t="s">
        <v>4814</v>
      </c>
      <c r="B4673" s="1" t="str">
        <f ca="1">IFERROR(__xludf.DUMMYFUNCTION("GOOGLETRANSLATE(A4673, ""en"", ""fr"")"),"Vide")</f>
        <v>Vide</v>
      </c>
      <c r="D4673" s="1" t="s">
        <v>4963</v>
      </c>
    </row>
    <row r="4674" spans="1:136" ht="14.25" customHeight="1" x14ac:dyDescent="0.3">
      <c r="A4674" s="1" t="s">
        <v>4815</v>
      </c>
      <c r="B4674" s="1" t="str">
        <f ca="1">IFERROR(__xludf.DUMMYFUNCTION("GOOGLETRANSLATE(A4674, ""en"", ""fr"")"),"vol")</f>
        <v>vol</v>
      </c>
      <c r="J4674" s="1" t="s">
        <v>7</v>
      </c>
    </row>
    <row r="4675" spans="1:136" ht="14.25" customHeight="1" x14ac:dyDescent="0.3">
      <c r="A4675" s="1" t="s">
        <v>4816</v>
      </c>
      <c r="B4675" s="1" t="str">
        <f ca="1">IFERROR(__xludf.DUMMYFUNCTION("GOOGLETRANSLATE(A4675, ""en"", ""fr"")"),"VOLATIL")</f>
        <v>VOLATIL</v>
      </c>
      <c r="D4675" s="1" t="s">
        <v>4963</v>
      </c>
    </row>
    <row r="4676" spans="1:136" ht="14.25" customHeight="1" x14ac:dyDescent="0.3">
      <c r="A4676" s="1" t="s">
        <v>4817</v>
      </c>
      <c r="B4676" s="1" t="str">
        <f ca="1">IFERROR(__xludf.DUMMYFUNCTION("GOOGLETRANSLATE(A4676, ""en"", ""fr"")"),"VOLATILITÉ")</f>
        <v>VOLATILITÉ</v>
      </c>
      <c r="D4676" s="1" t="s">
        <v>4963</v>
      </c>
    </row>
    <row r="4677" spans="1:136" ht="14.25" customHeight="1" x14ac:dyDescent="0.3">
      <c r="A4677" s="1" t="s">
        <v>4818</v>
      </c>
      <c r="B4677" s="1" t="str">
        <f ca="1">IFERROR(__xludf.DUMMYFUNCTION("GOOGLETRANSLATE(A4677, ""en"", ""fr"")"),"biais de la volatilité")</f>
        <v>biais de la volatilité</v>
      </c>
      <c r="CR4677" s="1" t="s">
        <v>93</v>
      </c>
      <c r="EF4677" s="1" t="s">
        <v>133</v>
      </c>
    </row>
    <row r="4678" spans="1:136" ht="14.25" customHeight="1" x14ac:dyDescent="0.3">
      <c r="A4678" s="1" t="s">
        <v>4819</v>
      </c>
      <c r="B4678" s="1" t="str">
        <f ca="1">IFERROR(__xludf.DUMMYFUNCTION("GOOGLETRANSLATE(A4678, ""en"", ""fr"")"),"sourire de volatilité")</f>
        <v>sourire de volatilité</v>
      </c>
      <c r="CR4678" s="1" t="s">
        <v>93</v>
      </c>
      <c r="EF4678" s="1" t="s">
        <v>133</v>
      </c>
    </row>
    <row r="4679" spans="1:136" ht="14.25" customHeight="1" x14ac:dyDescent="0.3">
      <c r="A4679" s="1" t="s">
        <v>4820</v>
      </c>
      <c r="B4679" s="1" t="str">
        <f ca="1">IFERROR(__xludf.DUMMYFUNCTION("GOOGLETRANSLATE(A4679, ""en"", ""fr"")"),"Structure des termes de volatilité")</f>
        <v>Structure des termes de volatilité</v>
      </c>
      <c r="CR4679" s="1" t="s">
        <v>93</v>
      </c>
      <c r="EF4679" s="1" t="s">
        <v>133</v>
      </c>
    </row>
    <row r="4680" spans="1:136" ht="14.25" customHeight="1" x14ac:dyDescent="0.3">
      <c r="A4680" s="1" t="s">
        <v>4821</v>
      </c>
      <c r="B4680" s="1" t="str">
        <f ca="1">IFERROR(__xludf.DUMMYFUNCTION("GOOGLETRANSLATE(A4680, ""en"", ""fr"")"),"trading de volatilité")</f>
        <v>trading de volatilité</v>
      </c>
      <c r="CR4680" s="1" t="s">
        <v>93</v>
      </c>
      <c r="EF4680" s="1" t="s">
        <v>133</v>
      </c>
    </row>
    <row r="4681" spans="1:136" ht="14.25" customHeight="1" x14ac:dyDescent="0.3">
      <c r="A4681" s="1" t="s">
        <v>4822</v>
      </c>
      <c r="B4681" s="1" t="str">
        <f ca="1">IFERROR(__xludf.DUMMYFUNCTION("GOOGLETRANSLATE(A4681, ""en"", ""fr"")"),"Volve")</f>
        <v>Volve</v>
      </c>
      <c r="R4681" s="1" t="s">
        <v>15</v>
      </c>
      <c r="CS4681" s="1" t="s">
        <v>94</v>
      </c>
    </row>
    <row r="4682" spans="1:136" ht="14.25" customHeight="1" x14ac:dyDescent="0.3">
      <c r="A4682" s="1" t="s">
        <v>4823</v>
      </c>
      <c r="B4682" s="1" t="str">
        <f ca="1">IFERROR(__xludf.DUMMYFUNCTION("GOOGLETRANSLATE(A4682, ""en"", ""fr"")"),"Vulnérabilités")</f>
        <v>Vulnérabilités</v>
      </c>
      <c r="D4682" s="1" t="s">
        <v>4963</v>
      </c>
    </row>
    <row r="4683" spans="1:136" ht="14.25" customHeight="1" x14ac:dyDescent="0.3">
      <c r="A4683" s="1" t="s">
        <v>4824</v>
      </c>
      <c r="B4683" s="1" t="str">
        <f ca="1">IFERROR(__xludf.DUMMYFUNCTION("GOOGLETRANSLATE(A4683, ""en"", ""fr"")"),"VULNÉRABILITÉ")</f>
        <v>VULNÉRABILITÉ</v>
      </c>
      <c r="D4683" s="1" t="s">
        <v>4963</v>
      </c>
    </row>
    <row r="4684" spans="1:136" ht="14.25" customHeight="1" x14ac:dyDescent="0.3">
      <c r="A4684" s="1" t="s">
        <v>4825</v>
      </c>
      <c r="B4684" s="1" t="str">
        <f ca="1">IFERROR(__xludf.DUMMYFUNCTION("GOOGLETRANSLATE(A4684, ""en"", ""fr"")"),"VULNÉRABLE")</f>
        <v>VULNÉRABLE</v>
      </c>
      <c r="D4684" s="1" t="s">
        <v>4963</v>
      </c>
    </row>
    <row r="4685" spans="1:136" ht="14.25" customHeight="1" x14ac:dyDescent="0.3">
      <c r="A4685" s="1" t="s">
        <v>4826</v>
      </c>
      <c r="B4685" s="1" t="str">
        <f ca="1">IFERROR(__xludf.DUMMYFUNCTION("GOOGLETRANSLATE(A4685, ""en"", ""fr"")"),"Vulnérablement")</f>
        <v>Vulnérablement</v>
      </c>
      <c r="D4685" s="1" t="s">
        <v>4963</v>
      </c>
    </row>
    <row r="4686" spans="1:136" ht="14.25" customHeight="1" x14ac:dyDescent="0.3">
      <c r="A4686" s="1" t="s">
        <v>4827</v>
      </c>
      <c r="B4686" s="1" t="str">
        <f ca="1">IFERROR(__xludf.DUMMYFUNCTION("GOOGLETRANSLATE(A4686, ""en"", ""fr"")"),"Wafra")</f>
        <v>Wafra</v>
      </c>
      <c r="R4686" s="1" t="s">
        <v>15</v>
      </c>
      <c r="CS4686" s="1" t="s">
        <v>94</v>
      </c>
    </row>
    <row r="4687" spans="1:136" ht="14.25" customHeight="1" x14ac:dyDescent="0.3">
      <c r="A4687" s="1" t="s">
        <v>4828</v>
      </c>
      <c r="B4687" s="1" t="str">
        <f ca="1">IFERROR(__xludf.DUMMYFUNCTION("GOOGLETRANSLATE(A4687, ""en"", ""fr"")"),"prix de salaire en spirale")</f>
        <v>prix de salaire en spirale</v>
      </c>
      <c r="M4687" s="1" t="s">
        <v>10</v>
      </c>
    </row>
    <row r="4688" spans="1:136" ht="14.25" customHeight="1" x14ac:dyDescent="0.3">
      <c r="A4688" s="1" t="s">
        <v>4829</v>
      </c>
      <c r="B4688" s="1" t="str">
        <f ca="1">IFERROR(__xludf.DUMMYFUNCTION("GOOGLETRANSLATE(A4688, ""en"", ""fr"")"),"mur d'inquiétude")</f>
        <v>mur d'inquiétude</v>
      </c>
      <c r="M4688" s="1" t="s">
        <v>10</v>
      </c>
    </row>
    <row r="4689" spans="1:51" ht="14.25" customHeight="1" x14ac:dyDescent="0.3">
      <c r="A4689" s="1" t="s">
        <v>4830</v>
      </c>
      <c r="B4689" s="1" t="str">
        <f ca="1">IFERROR(__xludf.DUMMYFUNCTION("GOOGLETRANSLATE(A4689, ""en"", ""fr"")"),"bébés de guerre")</f>
        <v>bébés de guerre</v>
      </c>
      <c r="M4689" s="1" t="s">
        <v>10</v>
      </c>
    </row>
    <row r="4690" spans="1:51" ht="14.25" customHeight="1" x14ac:dyDescent="0.3">
      <c r="A4690" s="1" t="s">
        <v>4831</v>
      </c>
      <c r="B4690" s="1" t="str">
        <f ca="1">IFERROR(__xludf.DUMMYFUNCTION("GOOGLETRANSLATE(A4690, ""en"", ""fr"")"),"AVERTIR")</f>
        <v>AVERTIR</v>
      </c>
      <c r="D4690" s="1" t="s">
        <v>4963</v>
      </c>
    </row>
    <row r="4691" spans="1:51" ht="14.25" customHeight="1" x14ac:dyDescent="0.3">
      <c r="A4691" s="1" t="s">
        <v>4832</v>
      </c>
      <c r="B4691" s="1" t="str">
        <f ca="1">IFERROR(__xludf.DUMMYFUNCTION("GOOGLETRANSLATE(A4691, ""en"", ""fr"")"),"AVERTI")</f>
        <v>AVERTI</v>
      </c>
      <c r="D4691" s="1" t="s">
        <v>4963</v>
      </c>
    </row>
    <row r="4692" spans="1:51" ht="14.25" customHeight="1" x14ac:dyDescent="0.3">
      <c r="A4692" s="1" t="s">
        <v>4833</v>
      </c>
      <c r="B4692" s="1" t="str">
        <f ca="1">IFERROR(__xludf.DUMMYFUNCTION("GOOGLETRANSLATE(A4692, ""en"", ""fr"")"),"AVERTISSEMENT")</f>
        <v>AVERTISSEMENT</v>
      </c>
      <c r="D4692" s="1" t="s">
        <v>4963</v>
      </c>
    </row>
    <row r="4693" spans="1:51" ht="14.25" customHeight="1" x14ac:dyDescent="0.3">
      <c r="A4693" s="1" t="s">
        <v>4834</v>
      </c>
      <c r="B4693" s="1" t="str">
        <f ca="1">IFERROR(__xludf.DUMMYFUNCTION("GOOGLETRANSLATE(A4693, ""en"", ""fr"")"),"AVERTISSEMENTS")</f>
        <v>AVERTISSEMENTS</v>
      </c>
      <c r="D4693" s="1" t="s">
        <v>4963</v>
      </c>
    </row>
    <row r="4694" spans="1:51" ht="14.25" customHeight="1" x14ac:dyDescent="0.3">
      <c r="A4694" s="1" t="s">
        <v>4835</v>
      </c>
      <c r="B4694" s="1" t="str">
        <f ca="1">IFERROR(__xludf.DUMMYFUNCTION("GOOGLETRANSLATE(A4694, ""en"", ""fr"")"),"Avertissements")</f>
        <v>Avertissements</v>
      </c>
      <c r="D4694" s="1" t="s">
        <v>4963</v>
      </c>
    </row>
    <row r="4695" spans="1:51" ht="14.25" customHeight="1" x14ac:dyDescent="0.3">
      <c r="A4695" s="1" t="s">
        <v>4836</v>
      </c>
      <c r="B4695" s="1" t="str">
        <f ca="1">IFERROR(__xludf.DUMMYFUNCTION("GOOGLETRANSLATE(A4695, ""en"", ""fr"")"),"était")</f>
        <v>était</v>
      </c>
      <c r="J4695" s="1" t="s">
        <v>7</v>
      </c>
    </row>
    <row r="4696" spans="1:51" ht="14.25" customHeight="1" x14ac:dyDescent="0.3">
      <c r="A4696" s="1" t="s">
        <v>4837</v>
      </c>
      <c r="B4696" s="1" t="str">
        <f ca="1">IFERROR(__xludf.DUMMYFUNCTION("GOOGLETRANSLATE(A4696, ""en"", ""fr"")"),"Installation d'injection d'eaux usées")</f>
        <v>Installation d'injection d'eaux usées</v>
      </c>
      <c r="E4696" s="1" t="s">
        <v>3</v>
      </c>
    </row>
    <row r="4697" spans="1:51" ht="14.25" customHeight="1" x14ac:dyDescent="0.3">
      <c r="A4697" s="1" t="s">
        <v>4838</v>
      </c>
      <c r="B4697" s="1" t="str">
        <f ca="1">IFERROR(__xludf.DUMMYFUNCTION("GOOGLETRANSLATE(A4697, ""en"", ""fr"")"),"GASPILLÉ")</f>
        <v>GASPILLÉ</v>
      </c>
      <c r="D4697" s="1" t="s">
        <v>4963</v>
      </c>
    </row>
    <row r="4698" spans="1:51" ht="14.25" customHeight="1" x14ac:dyDescent="0.3">
      <c r="A4698" s="1" t="s">
        <v>4839</v>
      </c>
      <c r="B4698" s="1" t="str">
        <f ca="1">IFERROR(__xludf.DUMMYFUNCTION("GOOGLETRANSLATE(A4698, ""en"", ""fr"")"),"GASPILLEUR")</f>
        <v>GASPILLEUR</v>
      </c>
      <c r="D4698" s="1" t="s">
        <v>4963</v>
      </c>
    </row>
    <row r="4699" spans="1:51" ht="14.25" customHeight="1" x14ac:dyDescent="0.3">
      <c r="A4699" s="1" t="s">
        <v>4840</v>
      </c>
      <c r="B4699" s="1" t="str">
        <f ca="1">IFERROR(__xludf.DUMMYFUNCTION("GOOGLETRANSLATE(A4699, ""en"", ""fr"")"),"GASPILLAGE")</f>
        <v>GASPILLAGE</v>
      </c>
      <c r="D4699" s="1" t="s">
        <v>4963</v>
      </c>
    </row>
    <row r="4700" spans="1:51" ht="14.25" customHeight="1" x14ac:dyDescent="0.3">
      <c r="A4700" s="1" t="s">
        <v>4841</v>
      </c>
      <c r="B4700" s="1" t="str">
        <f ca="1">IFERROR(__xludf.DUMMYFUNCTION("GOOGLETRANSLATE(A4700, ""en"", ""fr"")"),"Injection d'eau")</f>
        <v>Injection d'eau</v>
      </c>
      <c r="E4700" s="1" t="s">
        <v>3</v>
      </c>
      <c r="AY4700" s="1" t="s">
        <v>48</v>
      </c>
    </row>
    <row r="4701" spans="1:51" ht="14.25" customHeight="1" x14ac:dyDescent="0.3">
      <c r="A4701" s="1" t="s">
        <v>4842</v>
      </c>
      <c r="B4701" s="1" t="str">
        <f ca="1">IFERROR(__xludf.DUMMYFUNCTION("GOOGLETRANSLATE(A4701, ""en"", ""fr"")"),"Centre de traitement de l'eau")</f>
        <v>Centre de traitement de l'eau</v>
      </c>
      <c r="E4701" s="1" t="s">
        <v>3</v>
      </c>
    </row>
    <row r="4702" spans="1:51" ht="14.25" customHeight="1" x14ac:dyDescent="0.3">
      <c r="A4702" s="1" t="s">
        <v>4843</v>
      </c>
      <c r="B4702" s="1" t="str">
        <f ca="1">IFERROR(__xludf.DUMMYFUNCTION("GOOGLETRANSLATE(A4702, ""en"", ""fr"")"),"nous")</f>
        <v>nous</v>
      </c>
      <c r="J4702" s="1" t="s">
        <v>7</v>
      </c>
    </row>
    <row r="4703" spans="1:51" ht="14.25" customHeight="1" x14ac:dyDescent="0.3">
      <c r="A4703" s="1" t="s">
        <v>4844</v>
      </c>
      <c r="B4703" s="1" t="str">
        <f ca="1">IFERROR(__xludf.DUMMYFUNCTION("GOOGLETRANSLATE(A4703, ""en"", ""fr"")"),"FAIBLE")</f>
        <v>FAIBLE</v>
      </c>
      <c r="D4703" s="1" t="s">
        <v>4963</v>
      </c>
    </row>
    <row r="4704" spans="1:51" ht="14.25" customHeight="1" x14ac:dyDescent="0.3">
      <c r="A4704" s="1" t="s">
        <v>4845</v>
      </c>
      <c r="B4704" s="1" t="str">
        <f ca="1">IFERROR(__xludf.DUMMYFUNCTION("GOOGLETRANSLATE(A4704, ""en"", ""fr"")"),"Politique en dollars faibles")</f>
        <v>Politique en dollars faibles</v>
      </c>
      <c r="M4704" s="1" t="s">
        <v>10</v>
      </c>
    </row>
    <row r="4705" spans="1:97" ht="14.25" customHeight="1" x14ac:dyDescent="0.3">
      <c r="A4705" s="1" t="s">
        <v>4846</v>
      </c>
      <c r="B4705" s="1" t="str">
        <f ca="1">IFERROR(__xludf.DUMMYFUNCTION("GOOGLETRANSLATE(A4705, ""en"", ""fr"")"),"AFFAIBLIR")</f>
        <v>AFFAIBLIR</v>
      </c>
      <c r="D4705" s="1" t="s">
        <v>4963</v>
      </c>
    </row>
    <row r="4706" spans="1:97" ht="14.25" customHeight="1" x14ac:dyDescent="0.3">
      <c r="A4706" s="1" t="s">
        <v>4847</v>
      </c>
      <c r="B4706" s="1" t="str">
        <f ca="1">IFERROR(__xludf.DUMMYFUNCTION("GOOGLETRANSLATE(A4706, ""en"", ""fr"")"),"Affaibli")</f>
        <v>Affaibli</v>
      </c>
      <c r="D4706" s="1" t="s">
        <v>4963</v>
      </c>
    </row>
    <row r="4707" spans="1:97" ht="14.25" customHeight="1" x14ac:dyDescent="0.3">
      <c r="A4707" s="1" t="s">
        <v>4848</v>
      </c>
      <c r="B4707" s="1" t="str">
        <f ca="1">IFERROR(__xludf.DUMMYFUNCTION("GOOGLETRANSLATE(A4707, ""en"", ""fr"")"),"AFFAIBLISSEMENT")</f>
        <v>AFFAIBLISSEMENT</v>
      </c>
      <c r="D4707" s="1" t="s">
        <v>4963</v>
      </c>
    </row>
    <row r="4708" spans="1:97" ht="14.25" customHeight="1" x14ac:dyDescent="0.3">
      <c r="A4708" s="1" t="s">
        <v>4849</v>
      </c>
      <c r="B4708" s="1" t="str">
        <f ca="1">IFERROR(__xludf.DUMMYFUNCTION("GOOGLETRANSLATE(A4708, ""en"", ""fr"")"),"Affaiblir")</f>
        <v>Affaiblir</v>
      </c>
      <c r="D4708" s="1" t="s">
        <v>4963</v>
      </c>
    </row>
    <row r="4709" spans="1:97" ht="14.25" customHeight="1" x14ac:dyDescent="0.3">
      <c r="A4709" s="1" t="s">
        <v>4850</v>
      </c>
      <c r="B4709" s="1" t="str">
        <f ca="1">IFERROR(__xludf.DUMMYFUNCTION("GOOGLETRANSLATE(A4709, ""en"", ""fr"")"),"PLUS FAIBLE")</f>
        <v>PLUS FAIBLE</v>
      </c>
      <c r="D4709" s="1" t="s">
        <v>4963</v>
      </c>
    </row>
    <row r="4710" spans="1:97" ht="14.25" customHeight="1" x14ac:dyDescent="0.3">
      <c r="A4710" s="1" t="s">
        <v>4851</v>
      </c>
      <c r="B4710" s="1" t="str">
        <f ca="1">IFERROR(__xludf.DUMMYFUNCTION("GOOGLETRANSLATE(A4710, ""en"", ""fr"")"),"Le plus faible")</f>
        <v>Le plus faible</v>
      </c>
      <c r="D4710" s="1" t="s">
        <v>4963</v>
      </c>
    </row>
    <row r="4711" spans="1:97" ht="14.25" customHeight="1" x14ac:dyDescent="0.3">
      <c r="A4711" s="1" t="s">
        <v>4852</v>
      </c>
      <c r="B4711" s="1" t="str">
        <f ca="1">IFERROR(__xludf.DUMMYFUNCTION("GOOGLETRANSLATE(A4711, ""en"", ""fr"")"),"FAIBLEMENT")</f>
        <v>FAIBLEMENT</v>
      </c>
      <c r="D4711" s="1" t="s">
        <v>4963</v>
      </c>
    </row>
    <row r="4712" spans="1:97" ht="14.25" customHeight="1" x14ac:dyDescent="0.3">
      <c r="A4712" s="1" t="s">
        <v>4853</v>
      </c>
      <c r="B4712" s="1" t="str">
        <f ca="1">IFERROR(__xludf.DUMMYFUNCTION("GOOGLETRANSLATE(A4712, ""en"", ""fr"")"),"FAIBLESSE")</f>
        <v>FAIBLESSE</v>
      </c>
      <c r="D4712" s="1" t="s">
        <v>4963</v>
      </c>
    </row>
    <row r="4713" spans="1:97" ht="14.25" customHeight="1" x14ac:dyDescent="0.3">
      <c r="A4713" s="1" t="s">
        <v>4854</v>
      </c>
      <c r="B4713" s="1" t="str">
        <f ca="1">IFERROR(__xludf.DUMMYFUNCTION("GOOGLETRANSLATE(A4713, ""en"", ""fr"")"),"FAIBLESSES")</f>
        <v>FAIBLESSES</v>
      </c>
      <c r="D4713" s="1" t="s">
        <v>4963</v>
      </c>
    </row>
    <row r="4714" spans="1:97" ht="14.25" customHeight="1" x14ac:dyDescent="0.3">
      <c r="A4714" s="1" t="s">
        <v>4855</v>
      </c>
      <c r="B4714" s="1" t="str">
        <f ca="1">IFERROR(__xludf.DUMMYFUNCTION("GOOGLETRANSLATE(A4714, ""en"", ""fr"")"),"Bien")</f>
        <v>Bien</v>
      </c>
      <c r="AY4714" s="1" t="s">
        <v>48</v>
      </c>
      <c r="CS4714" s="1" t="s">
        <v>94</v>
      </c>
    </row>
    <row r="4715" spans="1:97" ht="14.25" customHeight="1" x14ac:dyDescent="0.3">
      <c r="A4715" s="1" t="s">
        <v>4856</v>
      </c>
      <c r="B4715" s="1" t="str">
        <f ca="1">IFERROR(__xludf.DUMMYFUNCTION("GOOGLETRANSLATE(A4715, ""en"", ""fr"")"),"Bien compléter")</f>
        <v>Bien compléter</v>
      </c>
      <c r="E4715" s="1" t="s">
        <v>3</v>
      </c>
      <c r="AY4715" s="1" t="s">
        <v>48</v>
      </c>
    </row>
    <row r="4716" spans="1:97" ht="14.25" customHeight="1" x14ac:dyDescent="0.3">
      <c r="A4716" s="1" t="s">
        <v>4857</v>
      </c>
      <c r="B4716" s="1" t="str">
        <f ca="1">IFERROR(__xludf.DUMMYFUNCTION("GOOGLETRANSLATE(A4716, ""en"", ""fr"")"),"Bien journalisation")</f>
        <v>Bien journalisation</v>
      </c>
      <c r="E4716" s="1" t="s">
        <v>3</v>
      </c>
    </row>
    <row r="4717" spans="1:97" ht="14.25" customHeight="1" x14ac:dyDescent="0.3">
      <c r="A4717" s="1" t="s">
        <v>4858</v>
      </c>
      <c r="B4717" s="1" t="str">
        <f ca="1">IFERROR(__xludf.DUMMYFUNCTION("GOOGLETRANSLATE(A4717, ""en"", ""fr"")"),"Bien nomenclature")</f>
        <v>Bien nomenclature</v>
      </c>
      <c r="E4717" s="1" t="s">
        <v>3</v>
      </c>
      <c r="AY4717" s="1" t="s">
        <v>48</v>
      </c>
    </row>
    <row r="4718" spans="1:97" ht="14.25" customHeight="1" x14ac:dyDescent="0.3">
      <c r="A4718" s="1" t="s">
        <v>4859</v>
      </c>
      <c r="B4718" s="1" t="str">
        <f ca="1">IFERROR(__xludf.DUMMYFUNCTION("GOOGLETRANSLATE(A4718, ""en"", ""fr"")"),"tête de puits")</f>
        <v>tête de puits</v>
      </c>
      <c r="CS4718" s="1" t="s">
        <v>94</v>
      </c>
    </row>
    <row r="4719" spans="1:97" ht="14.25" customHeight="1" x14ac:dyDescent="0.3">
      <c r="A4719" s="1" t="s">
        <v>4860</v>
      </c>
      <c r="B4719" s="1" t="str">
        <f ca="1">IFERROR(__xludf.DUMMYFUNCTION("GOOGLETRANSLATE(A4719, ""en"", ""fr"")"),"gaspillage")</f>
        <v>gaspillage</v>
      </c>
      <c r="CS4719" s="1" t="s">
        <v>94</v>
      </c>
    </row>
    <row r="4720" spans="1:97" ht="14.25" customHeight="1" x14ac:dyDescent="0.3">
      <c r="A4720" s="1" t="s">
        <v>4861</v>
      </c>
      <c r="B4720" s="1" t="str">
        <f ca="1">IFERROR(__xludf.DUMMYFUNCTION("GOOGLETRANSLATE(A4720, ""en"", ""fr"")"),"puits")</f>
        <v>puits</v>
      </c>
      <c r="AY4720" s="1" t="s">
        <v>48</v>
      </c>
      <c r="CS4720" s="1" t="s">
        <v>94</v>
      </c>
    </row>
    <row r="4721" spans="1:142" ht="14.25" customHeight="1" x14ac:dyDescent="0.3">
      <c r="A4721" s="1" t="s">
        <v>4862</v>
      </c>
      <c r="B4721" s="1" t="str">
        <f ca="1">IFERROR(__xludf.DUMMYFUNCTION("GOOGLETRANSLATE(A4721, ""en"", ""fr"")"),"est allé")</f>
        <v>est allé</v>
      </c>
      <c r="J4721" s="1" t="s">
        <v>7</v>
      </c>
    </row>
    <row r="4722" spans="1:142" ht="14.25" customHeight="1" x14ac:dyDescent="0.3">
      <c r="A4722" s="1" t="s">
        <v>4863</v>
      </c>
      <c r="B4722" s="1" t="str">
        <f ca="1">IFERROR(__xludf.DUMMYFUNCTION("GOOGLETRANSLATE(A4722, ""en"", ""fr"")"),"étaient")</f>
        <v>étaient</v>
      </c>
      <c r="J4722" s="1" t="s">
        <v>7</v>
      </c>
    </row>
    <row r="4723" spans="1:142" ht="14.25" customHeight="1" x14ac:dyDescent="0.3">
      <c r="A4723" s="1" t="s">
        <v>4864</v>
      </c>
      <c r="B4723" s="1" t="str">
        <f ca="1">IFERROR(__xludf.DUMMYFUNCTION("GOOGLETRANSLATE(A4723, ""en"", ""fr"")"),"West Seno")</f>
        <v>West Seno</v>
      </c>
      <c r="R4723" s="1" t="s">
        <v>15</v>
      </c>
      <c r="CS4723" s="1" t="s">
        <v>94</v>
      </c>
    </row>
    <row r="4724" spans="1:142" ht="14.25" customHeight="1" x14ac:dyDescent="0.3">
      <c r="A4724" s="1" t="s">
        <v>4865</v>
      </c>
      <c r="B4724" s="1" t="str">
        <f ca="1">IFERROR(__xludf.DUMMYFUNCTION("GOOGLETRANSLATE(A4724, ""en"", ""fr"")"),"West Texas Intermediate")</f>
        <v>West Texas Intermediate</v>
      </c>
      <c r="R4724" s="1" t="s">
        <v>15</v>
      </c>
      <c r="CS4724" s="1" t="s">
        <v>94</v>
      </c>
    </row>
    <row r="4725" spans="1:142" ht="14.25" customHeight="1" x14ac:dyDescent="0.3">
      <c r="A4725" s="1" t="s">
        <v>4866</v>
      </c>
      <c r="B4725" s="1" t="str">
        <f ca="1">IFERROR(__xludf.DUMMYFUNCTION("GOOGLETRANSLATE(A4725, ""en"", ""fr"")"),"West Texas Sour")</f>
        <v>West Texas Sour</v>
      </c>
      <c r="R4725" s="1" t="s">
        <v>15</v>
      </c>
      <c r="CS4725" s="1" t="s">
        <v>94</v>
      </c>
    </row>
    <row r="4726" spans="1:142" ht="14.25" customHeight="1" x14ac:dyDescent="0.3">
      <c r="A4726" s="1" t="s">
        <v>4867</v>
      </c>
      <c r="B4726" s="1" t="str">
        <f ca="1">IFERROR(__xludf.DUMMYFUNCTION("GOOGLETRANSLATE(A4726, ""en"", ""fr"")"),"Western Canada Sélectionner")</f>
        <v>Western Canada Sélectionner</v>
      </c>
      <c r="R4726" s="1" t="s">
        <v>15</v>
      </c>
      <c r="CS4726" s="1" t="s">
        <v>94</v>
      </c>
    </row>
    <row r="4727" spans="1:142" ht="14.25" customHeight="1" x14ac:dyDescent="0.3">
      <c r="A4727" s="1" t="s">
        <v>4868</v>
      </c>
      <c r="B4727" s="1" t="str">
        <f ca="1">IFERROR(__xludf.DUMMYFUNCTION("GOOGLETRANSLATE(A4727, ""en"", ""fr"")"),"West-Matveevskoye")</f>
        <v>West-Matveevskoye</v>
      </c>
      <c r="AK4727" s="1" t="s">
        <v>34</v>
      </c>
      <c r="BH4727" s="1" t="s">
        <v>57</v>
      </c>
      <c r="BW4727" s="1" t="s">
        <v>72</v>
      </c>
      <c r="DD4727" s="1" t="s">
        <v>105</v>
      </c>
    </row>
    <row r="4728" spans="1:142" ht="14.25" customHeight="1" x14ac:dyDescent="0.3">
      <c r="A4728" s="1" t="s">
        <v>4869</v>
      </c>
      <c r="B4728" s="1" t="str">
        <f ca="1">IFERROR(__xludf.DUMMYFUNCTION("GOOGLETRANSLATE(A4728, ""en"", ""fr"")"),"Westqurna")</f>
        <v>Westqurna</v>
      </c>
      <c r="AU4728" s="1" t="s">
        <v>44</v>
      </c>
      <c r="BE4728" s="1" t="s">
        <v>54</v>
      </c>
      <c r="BS4728" s="1" t="s">
        <v>68</v>
      </c>
      <c r="DD4728" s="1" t="s">
        <v>105</v>
      </c>
    </row>
    <row r="4729" spans="1:142" ht="14.25" customHeight="1" x14ac:dyDescent="0.3">
      <c r="A4729" s="1" t="s">
        <v>4870</v>
      </c>
      <c r="B4729" s="1" t="str">
        <f ca="1">IFERROR(__xludf.DUMMYFUNCTION("GOOGLETRANSLATE(A4729, ""en"", ""fr"")"),"Gaz naturel humide")</f>
        <v>Gaz naturel humide</v>
      </c>
      <c r="EL4729" s="1" t="s">
        <v>139</v>
      </c>
    </row>
    <row r="4730" spans="1:142" ht="14.25" customHeight="1" x14ac:dyDescent="0.3">
      <c r="A4730" s="1" t="s">
        <v>4871</v>
      </c>
      <c r="B4730" s="1" t="str">
        <f ca="1">IFERROR(__xludf.DUMMYFUNCTION("GOOGLETRANSLATE(A4730, ""en"", ""fr"")"),"quoi")</f>
        <v>quoi</v>
      </c>
      <c r="J4730" s="1" t="s">
        <v>7</v>
      </c>
    </row>
    <row r="4731" spans="1:142" ht="14.25" customHeight="1" x14ac:dyDescent="0.3">
      <c r="A4731" s="1" t="s">
        <v>4872</v>
      </c>
      <c r="B4731" s="1" t="str">
        <f ca="1">IFERROR(__xludf.DUMMYFUNCTION("GOOGLETRANSLATE(A4731, ""en"", ""fr"")"),"quand")</f>
        <v>quand</v>
      </c>
      <c r="J4731" s="1" t="s">
        <v>7</v>
      </c>
    </row>
    <row r="4732" spans="1:142" ht="14.25" customHeight="1" x14ac:dyDescent="0.3">
      <c r="A4732" s="1" t="s">
        <v>4873</v>
      </c>
      <c r="B4732" s="1" t="str">
        <f ca="1">IFERROR(__xludf.DUMMYFUNCTION("GOOGLETRANSLATE(A4732, ""en"", ""fr"")"),"où")</f>
        <v>où</v>
      </c>
      <c r="J4732" s="1" t="s">
        <v>7</v>
      </c>
    </row>
    <row r="4733" spans="1:142" ht="14.25" customHeight="1" x14ac:dyDescent="0.3">
      <c r="A4733" s="1" t="s">
        <v>4874</v>
      </c>
      <c r="B4733" s="1" t="str">
        <f ca="1">IFERROR(__xludf.DUMMYFUNCTION("GOOGLETRANSLATE(A4733, ""en"", ""fr"")"),"si")</f>
        <v>si</v>
      </c>
      <c r="J4733" s="1" t="s">
        <v>7</v>
      </c>
    </row>
    <row r="4734" spans="1:142" ht="14.25" customHeight="1" x14ac:dyDescent="0.3">
      <c r="A4734" s="1" t="s">
        <v>4875</v>
      </c>
      <c r="B4734" s="1" t="str">
        <f ca="1">IFERROR(__xludf.DUMMYFUNCTION("GOOGLETRANSLATE(A4734, ""en"", ""fr"")"),"lequel")</f>
        <v>lequel</v>
      </c>
      <c r="J4734" s="1" t="s">
        <v>7</v>
      </c>
    </row>
    <row r="4735" spans="1:142" ht="14.25" customHeight="1" x14ac:dyDescent="0.3">
      <c r="A4735" s="1" t="s">
        <v>4876</v>
      </c>
      <c r="B4735" s="1" t="str">
        <f ca="1">IFERROR(__xludf.DUMMYFUNCTION("GOOGLETRANSLATE(A4735, ""en"", ""fr"")"),"Huile blanche")</f>
        <v>Huile blanche</v>
      </c>
      <c r="EL4735" s="1" t="s">
        <v>139</v>
      </c>
    </row>
    <row r="4736" spans="1:142" ht="14.25" customHeight="1" x14ac:dyDescent="0.3">
      <c r="A4736" s="1" t="s">
        <v>4877</v>
      </c>
      <c r="B4736" s="1" t="str">
        <f ca="1">IFERROR(__xludf.DUMMYFUNCTION("GOOGLETRANSLATE(A4736, ""en"", ""fr"")"),"produit blanc")</f>
        <v>produit blanc</v>
      </c>
      <c r="CS4736" s="1" t="s">
        <v>94</v>
      </c>
    </row>
    <row r="4737" spans="1:142" ht="14.25" customHeight="1" x14ac:dyDescent="0.3">
      <c r="A4737" s="1" t="s">
        <v>4878</v>
      </c>
      <c r="B4737" s="1" t="str">
        <f ca="1">IFERROR(__xludf.DUMMYFUNCTION("GOOGLETRANSLATE(A4737, ""en"", ""fr"")"),"Produits blancs")</f>
        <v>Produits blancs</v>
      </c>
      <c r="EL4737" s="1" t="s">
        <v>139</v>
      </c>
    </row>
    <row r="4738" spans="1:142" ht="14.25" customHeight="1" x14ac:dyDescent="0.3">
      <c r="A4738" s="1" t="s">
        <v>4879</v>
      </c>
      <c r="B4738" s="1" t="str">
        <f ca="1">IFERROR(__xludf.DUMMYFUNCTION("GOOGLETRANSLATE(A4738, ""en"", ""fr"")"),"rose blanche")</f>
        <v>rose blanche</v>
      </c>
      <c r="R4738" s="1" t="s">
        <v>15</v>
      </c>
      <c r="CS4738" s="1" t="s">
        <v>94</v>
      </c>
    </row>
    <row r="4739" spans="1:142" ht="14.25" customHeight="1" x14ac:dyDescent="0.3">
      <c r="A4739" s="1" t="s">
        <v>4880</v>
      </c>
      <c r="B4739" s="1" t="str">
        <f ca="1">IFERROR(__xludf.DUMMYFUNCTION("GOOGLETRANSLATE(A4739, ""en"", ""fr"")"),"raffinerie de mer")</f>
        <v>raffinerie de mer</v>
      </c>
      <c r="BF4739" s="1" t="s">
        <v>55</v>
      </c>
      <c r="BI4739" s="1" t="s">
        <v>58</v>
      </c>
      <c r="DR4739" s="1" t="s">
        <v>119</v>
      </c>
      <c r="EB4739" s="1" t="s">
        <v>129</v>
      </c>
    </row>
    <row r="4740" spans="1:142" ht="14.25" customHeight="1" x14ac:dyDescent="0.3">
      <c r="A4740" s="1" t="s">
        <v>4881</v>
      </c>
      <c r="B4740" s="1" t="str">
        <f ca="1">IFERROR(__xludf.DUMMYFUNCTION("GOOGLETRANSLATE(A4740, ""en"", ""fr"")"),"OMS")</f>
        <v>OMS</v>
      </c>
      <c r="J4740" s="1" t="s">
        <v>7</v>
      </c>
    </row>
    <row r="4741" spans="1:142" ht="14.25" customHeight="1" x14ac:dyDescent="0.3">
      <c r="A4741" s="1" t="s">
        <v>4882</v>
      </c>
      <c r="B4741" s="1" t="str">
        <f ca="1">IFERROR(__xludf.DUMMYFUNCTION("GOOGLETRANSLATE(A4741, ""en"", ""fr"")"),"entier")</f>
        <v>entier</v>
      </c>
      <c r="J4741" s="1" t="s">
        <v>7</v>
      </c>
    </row>
    <row r="4742" spans="1:142" ht="14.25" customHeight="1" x14ac:dyDescent="0.3">
      <c r="A4742" s="1" t="s">
        <v>4883</v>
      </c>
      <c r="B4742" s="1" t="str">
        <f ca="1">IFERROR(__xludf.DUMMYFUNCTION("GOOGLETRANSLATE(A4742, ""en"", ""fr"")"),"Inventaires de gros")</f>
        <v>Inventaires de gros</v>
      </c>
      <c r="M4742" s="1" t="s">
        <v>10</v>
      </c>
    </row>
    <row r="4743" spans="1:142" ht="14.25" customHeight="1" x14ac:dyDescent="0.3">
      <c r="A4743" s="1" t="s">
        <v>4884</v>
      </c>
      <c r="B4743" s="1" t="str">
        <f ca="1">IFERROR(__xludf.DUMMYFUNCTION("GOOGLETRANSLATE(A4743, ""en"", ""fr"")"),"Marché de la puissance en gros")</f>
        <v>Marché de la puissance en gros</v>
      </c>
      <c r="EH4743" s="1" t="s">
        <v>135</v>
      </c>
    </row>
    <row r="4744" spans="1:142" ht="14.25" customHeight="1" x14ac:dyDescent="0.3">
      <c r="A4744" s="1" t="s">
        <v>4885</v>
      </c>
      <c r="B4744" s="1" t="str">
        <f ca="1">IFERROR(__xludf.DUMMYFUNCTION("GOOGLETRANSLATE(A4744, ""en"", ""fr"")"),"alimentation en gros")</f>
        <v>alimentation en gros</v>
      </c>
      <c r="EH4744" s="1" t="s">
        <v>135</v>
      </c>
    </row>
    <row r="4745" spans="1:142" ht="14.25" customHeight="1" x14ac:dyDescent="0.3">
      <c r="A4745" s="1" t="s">
        <v>4886</v>
      </c>
      <c r="B4745" s="1" t="str">
        <f ca="1">IFERROR(__xludf.DUMMYFUNCTION("GOOGLETRANSLATE(A4745, ""en"", ""fr"")"),"prix de gros")</f>
        <v>prix de gros</v>
      </c>
      <c r="M4745" s="1" t="s">
        <v>10</v>
      </c>
    </row>
    <row r="4746" spans="1:142" ht="14.25" customHeight="1" x14ac:dyDescent="0.3">
      <c r="A4746" s="1" t="s">
        <v>4887</v>
      </c>
      <c r="B4746" s="1" t="str">
        <f ca="1">IFERROR(__xludf.DUMMYFUNCTION("GOOGLETRANSLATE(A4746, ""en"", ""fr"")"),"qui")</f>
        <v>qui</v>
      </c>
      <c r="J4746" s="1" t="s">
        <v>7</v>
      </c>
    </row>
    <row r="4747" spans="1:142" ht="14.25" customHeight="1" x14ac:dyDescent="0.3">
      <c r="A4747" s="1" t="s">
        <v>4888</v>
      </c>
      <c r="B4747" s="1" t="str">
        <f ca="1">IFERROR(__xludf.DUMMYFUNCTION("GOOGLETRANSLATE(A4747, ""en"", ""fr"")"),"dont")</f>
        <v>dont</v>
      </c>
      <c r="J4747" s="1" t="s">
        <v>7</v>
      </c>
    </row>
    <row r="4748" spans="1:142" ht="14.25" customHeight="1" x14ac:dyDescent="0.3">
      <c r="A4748" s="1" t="s">
        <v>4889</v>
      </c>
      <c r="B4748" s="1" t="str">
        <f ca="1">IFERROR(__xludf.DUMMYFUNCTION("GOOGLETRANSLATE(A4748, ""en"", ""fr"")"),"pourquoi")</f>
        <v>pourquoi</v>
      </c>
      <c r="J4748" s="1" t="s">
        <v>7</v>
      </c>
    </row>
    <row r="4749" spans="1:142" ht="14.25" customHeight="1" x14ac:dyDescent="0.3">
      <c r="A4749" s="1" t="s">
        <v>4890</v>
      </c>
      <c r="B4749" s="1" t="str">
        <f ca="1">IFERROR(__xludf.DUMMYFUNCTION("GOOGLETRANSLATE(A4749, ""en"", ""fr"")"),"Widuri")</f>
        <v>Widuri</v>
      </c>
      <c r="R4749" s="1" t="s">
        <v>15</v>
      </c>
      <c r="CS4749" s="1" t="s">
        <v>94</v>
      </c>
    </row>
    <row r="4750" spans="1:142" ht="14.25" customHeight="1" x14ac:dyDescent="0.3">
      <c r="A4750" s="1" t="s">
        <v>4891</v>
      </c>
      <c r="B4750" s="1" t="str">
        <f ca="1">IFERROR(__xludf.DUMMYFUNCTION("GOOGLETRANSLATE(A4750, ""en"", ""fr"")"),"Chat sauvage")</f>
        <v>Chat sauvage</v>
      </c>
      <c r="AY4750" s="1" t="s">
        <v>48</v>
      </c>
    </row>
    <row r="4751" spans="1:142" ht="14.25" customHeight="1" x14ac:dyDescent="0.3">
      <c r="A4751" s="1" t="s">
        <v>4892</v>
      </c>
      <c r="B4751" s="1" t="str">
        <f ca="1">IFERROR(__xludf.DUMMYFUNCTION("GOOGLETRANSLATE(A4751, ""en"", ""fr"")"),"volonté")</f>
        <v>volonté</v>
      </c>
      <c r="J4751" s="1" t="s">
        <v>7</v>
      </c>
    </row>
    <row r="4752" spans="1:142" ht="14.25" customHeight="1" x14ac:dyDescent="0.3">
      <c r="A4752" s="1" t="s">
        <v>4893</v>
      </c>
      <c r="B4752" s="1" t="str">
        <f ca="1">IFERROR(__xludf.DUMMYFUNCTION("GOOGLETRANSLATE(A4752, ""en"", ""fr"")"),"DÉLIBÉRÉMENT")</f>
        <v>DÉLIBÉRÉMENT</v>
      </c>
      <c r="D4752" s="1" t="s">
        <v>4963</v>
      </c>
    </row>
    <row r="4753" spans="1:115" ht="14.25" customHeight="1" x14ac:dyDescent="0.3">
      <c r="A4753" s="1" t="s">
        <v>4894</v>
      </c>
      <c r="B4753" s="1" t="str">
        <f ca="1">IFERROR(__xludf.DUMMYFUNCTION("GOOGLETRANSLATE(A4753, ""en"", ""fr"")"),"Williams Sugarland Blend")</f>
        <v>Williams Sugarland Blend</v>
      </c>
      <c r="R4753" s="1" t="s">
        <v>15</v>
      </c>
      <c r="CS4753" s="1" t="s">
        <v>94</v>
      </c>
    </row>
    <row r="4754" spans="1:115" ht="14.25" customHeight="1" x14ac:dyDescent="0.3">
      <c r="A4754" s="1" t="s">
        <v>4895</v>
      </c>
      <c r="B4754" s="1" t="str">
        <f ca="1">IFERROR(__xludf.DUMMYFUNCTION("GOOGLETRANSLATE(A4754, ""en"", ""fr"")"),"huile de Wilmington")</f>
        <v>huile de Wilmington</v>
      </c>
      <c r="DD4754" s="1" t="s">
        <v>105</v>
      </c>
      <c r="DF4754" s="1" t="s">
        <v>107</v>
      </c>
      <c r="DK4754" s="1" t="s">
        <v>112</v>
      </c>
    </row>
    <row r="4755" spans="1:115" ht="14.25" customHeight="1" x14ac:dyDescent="0.3">
      <c r="A4755" s="1" t="s">
        <v>4896</v>
      </c>
      <c r="B4755" s="1" t="str">
        <f ca="1">IFERROR(__xludf.DUMMYFUNCTION("GOOGLETRANSLATE(A4755, ""en"", ""fr"")"),"GAGNER")</f>
        <v>GAGNER</v>
      </c>
      <c r="H4755" s="1" t="s">
        <v>4964</v>
      </c>
    </row>
    <row r="4756" spans="1:115" ht="14.25" customHeight="1" x14ac:dyDescent="0.3">
      <c r="A4756" s="1" t="s">
        <v>4897</v>
      </c>
      <c r="B4756" s="1" t="str">
        <f ca="1">IFERROR(__xludf.DUMMYFUNCTION("GOOGLETRANSLATE(A4756, ""en"", ""fr"")"),"GAGNANT")</f>
        <v>GAGNANT</v>
      </c>
      <c r="H4756" s="1" t="s">
        <v>4964</v>
      </c>
    </row>
    <row r="4757" spans="1:115" ht="14.25" customHeight="1" x14ac:dyDescent="0.3">
      <c r="A4757" s="1" t="s">
        <v>4898</v>
      </c>
      <c r="B4757" s="1" t="str">
        <f ca="1">IFERROR(__xludf.DUMMYFUNCTION("GOOGLETRANSLATE(A4757, ""en"", ""fr"")"),"GAGNANTS")</f>
        <v>GAGNANTS</v>
      </c>
      <c r="H4757" s="1" t="s">
        <v>4964</v>
      </c>
    </row>
    <row r="4758" spans="1:115" ht="14.25" customHeight="1" x14ac:dyDescent="0.3">
      <c r="A4758" s="1" t="s">
        <v>4899</v>
      </c>
      <c r="B4758" s="1" t="str">
        <f ca="1">IFERROR(__xludf.DUMMYFUNCTION("GOOGLETRANSLATE(A4758, ""en"", ""fr"")"),"GAGNANT")</f>
        <v>GAGNANT</v>
      </c>
      <c r="H4758" s="1" t="s">
        <v>4964</v>
      </c>
    </row>
    <row r="4759" spans="1:115" ht="14.25" customHeight="1" x14ac:dyDescent="0.3">
      <c r="A4759" s="1" t="s">
        <v>4900</v>
      </c>
      <c r="B4759" s="1" t="str">
        <f ca="1">IFERROR(__xludf.DUMMYFUNCTION("GOOGLETRANSLATE(A4759, ""en"", ""fr"")"),"avec")</f>
        <v>avec</v>
      </c>
      <c r="J4759" s="1" t="s">
        <v>7</v>
      </c>
    </row>
    <row r="4760" spans="1:115" ht="14.25" customHeight="1" x14ac:dyDescent="0.3">
      <c r="A4760" s="1" t="s">
        <v>4901</v>
      </c>
      <c r="B4760" s="1" t="str">
        <f ca="1">IFERROR(__xludf.DUMMYFUNCTION("GOOGLETRANSLATE(A4760, ""en"", ""fr"")"),"dans")</f>
        <v>dans</v>
      </c>
      <c r="J4760" s="1" t="s">
        <v>7</v>
      </c>
    </row>
    <row r="4761" spans="1:115" ht="14.25" customHeight="1" x14ac:dyDescent="0.3">
      <c r="A4761" s="1" t="s">
        <v>4902</v>
      </c>
      <c r="B4761" s="1" t="str">
        <f ca="1">IFERROR(__xludf.DUMMYFUNCTION("GOOGLETRANSLATE(A4761, ""en"", ""fr"")"),"sans")</f>
        <v>sans</v>
      </c>
      <c r="J4761" s="1" t="s">
        <v>7</v>
      </c>
    </row>
    <row r="4762" spans="1:115" ht="14.25" customHeight="1" x14ac:dyDescent="0.3">
      <c r="A4762" s="1" t="s">
        <v>4903</v>
      </c>
      <c r="B4762" s="1" t="str">
        <f ca="1">IFERROR(__xludf.DUMMYFUNCTION("GOOGLETRANSLATE(A4762, ""en"", ""fr"")"),"ne le fera pas")</f>
        <v>ne le fera pas</v>
      </c>
      <c r="J4762" s="1" t="s">
        <v>7</v>
      </c>
    </row>
    <row r="4763" spans="1:115" ht="14.25" customHeight="1" x14ac:dyDescent="0.3">
      <c r="A4763" s="1" t="s">
        <v>4904</v>
      </c>
      <c r="B4763" s="1" t="str">
        <f ca="1">IFERROR(__xludf.DUMMYFUNCTION("GOOGLETRANSLATE(A4763, ""en"", ""fr"")"),"la main d'oeuvre")</f>
        <v>la main d'oeuvre</v>
      </c>
      <c r="M4763" s="1" t="s">
        <v>10</v>
      </c>
    </row>
    <row r="4764" spans="1:115" ht="14.25" customHeight="1" x14ac:dyDescent="0.3">
      <c r="A4764" s="1" t="s">
        <v>4905</v>
      </c>
      <c r="B4764" s="1" t="str">
        <f ca="1">IFERROR(__xludf.DUMMYFUNCTION("GOOGLETRANSLATE(A4764, ""en"", ""fr"")"),"fonds de roulement")</f>
        <v>fonds de roulement</v>
      </c>
      <c r="CR4764" s="1" t="s">
        <v>93</v>
      </c>
    </row>
    <row r="4765" spans="1:115" ht="14.25" customHeight="1" x14ac:dyDescent="0.3">
      <c r="A4765" s="1" t="s">
        <v>4906</v>
      </c>
      <c r="B4765" s="1" t="str">
        <f ca="1">IFERROR(__xludf.DUMMYFUNCTION("GOOGLETRANSLATE(A4765, ""en"", ""fr"")"),"Conduite")</f>
        <v>Conduite</v>
      </c>
      <c r="E4765" s="1" t="s">
        <v>3</v>
      </c>
      <c r="AY4765" s="1" t="s">
        <v>48</v>
      </c>
    </row>
    <row r="4766" spans="1:115" ht="14.25" customHeight="1" x14ac:dyDescent="0.3">
      <c r="A4766" s="1" t="s">
        <v>4907</v>
      </c>
      <c r="B4766" s="1" t="str">
        <f ca="1">IFERROR(__xludf.DUMMYFUNCTION("GOOGLETRANSLATE(A4766, ""en"", ""fr"")"),"Banque mondiale")</f>
        <v>Banque mondiale</v>
      </c>
      <c r="M4766" s="1" t="s">
        <v>10</v>
      </c>
    </row>
    <row r="4767" spans="1:115" ht="14.25" customHeight="1" x14ac:dyDescent="0.3">
      <c r="A4767" s="1" t="s">
        <v>4908</v>
      </c>
      <c r="B4767" s="1" t="str">
        <f ca="1">IFERROR(__xludf.DUMMYFUNCTION("GOOGLETRANSLATE(A4767, ""en"", ""fr"")"),"l'organisation de commerce mondial")</f>
        <v>l'organisation de commerce mondial</v>
      </c>
      <c r="M4767" s="1" t="s">
        <v>10</v>
      </c>
    </row>
    <row r="4768" spans="1:115" ht="14.25" customHeight="1" x14ac:dyDescent="0.3">
      <c r="A4768" s="1" t="s">
        <v>4909</v>
      </c>
      <c r="B4768" s="1" t="str">
        <f ca="1">IFERROR(__xludf.DUMMYFUNCTION("GOOGLETRANSLATE(A4768, ""en"", ""fr"")"),"Ver")</f>
        <v>Ver</v>
      </c>
      <c r="E4768" s="1" t="s">
        <v>3</v>
      </c>
    </row>
    <row r="4769" spans="1:10" ht="14.25" customHeight="1" x14ac:dyDescent="0.3">
      <c r="A4769" s="1" t="s">
        <v>4910</v>
      </c>
      <c r="B4769" s="1" t="str">
        <f ca="1">IFERROR(__xludf.DUMMYFUNCTION("GOOGLETRANSLATE(A4769, ""en"", ""fr"")"),"DES SOUCIS")</f>
        <v>DES SOUCIS</v>
      </c>
      <c r="D4769" s="1" t="s">
        <v>4963</v>
      </c>
    </row>
    <row r="4770" spans="1:10" ht="14.25" customHeight="1" x14ac:dyDescent="0.3">
      <c r="A4770" s="1" t="s">
        <v>4911</v>
      </c>
      <c r="B4770" s="1" t="str">
        <f ca="1">IFERROR(__xludf.DUMMYFUNCTION("GOOGLETRANSLATE(A4770, ""en"", ""fr"")"),"INQUIÉTUDE")</f>
        <v>INQUIÉTUDE</v>
      </c>
      <c r="D4770" s="1" t="s">
        <v>4963</v>
      </c>
    </row>
    <row r="4771" spans="1:10" ht="14.25" customHeight="1" x14ac:dyDescent="0.3">
      <c r="A4771" s="1" t="s">
        <v>4912</v>
      </c>
      <c r="B4771" s="1" t="str">
        <f ca="1">IFERROR(__xludf.DUMMYFUNCTION("GOOGLETRANSLATE(A4771, ""en"", ""fr"")"),"INQUIÉTANT")</f>
        <v>INQUIÉTANT</v>
      </c>
      <c r="D4771" s="1" t="s">
        <v>4963</v>
      </c>
    </row>
    <row r="4772" spans="1:10" ht="14.25" customHeight="1" x14ac:dyDescent="0.3">
      <c r="A4772" s="1" t="s">
        <v>4913</v>
      </c>
      <c r="B4772" s="1" t="str">
        <f ca="1">IFERROR(__xludf.DUMMYFUNCTION("GOOGLETRANSLATE(A4772, ""en"", ""fr"")"),"PIRE")</f>
        <v>PIRE</v>
      </c>
      <c r="D4772" s="1" t="s">
        <v>4963</v>
      </c>
    </row>
    <row r="4773" spans="1:10" ht="14.25" customHeight="1" x14ac:dyDescent="0.3">
      <c r="A4773" s="1" t="s">
        <v>4914</v>
      </c>
      <c r="B4773" s="1" t="str">
        <f ca="1">IFERROR(__xludf.DUMMYFUNCTION("GOOGLETRANSLATE(A4773, ""en"", ""fr"")"),"EMPIRER")</f>
        <v>EMPIRER</v>
      </c>
      <c r="D4773" s="1" t="s">
        <v>4963</v>
      </c>
    </row>
    <row r="4774" spans="1:10" ht="14.25" customHeight="1" x14ac:dyDescent="0.3">
      <c r="A4774" s="1" t="s">
        <v>4915</v>
      </c>
      <c r="B4774" s="1" t="str">
        <f ca="1">IFERROR(__xludf.DUMMYFUNCTION("GOOGLETRANSLATE(A4774, ""en"", ""fr"")"),"Aggravé")</f>
        <v>Aggravé</v>
      </c>
      <c r="D4774" s="1" t="s">
        <v>4963</v>
      </c>
    </row>
    <row r="4775" spans="1:10" ht="14.25" customHeight="1" x14ac:dyDescent="0.3">
      <c r="A4775" s="1" t="s">
        <v>4916</v>
      </c>
      <c r="B4775" s="1" t="str">
        <f ca="1">IFERROR(__xludf.DUMMYFUNCTION("GOOGLETRANSLATE(A4775, ""en"", ""fr"")"),"DÉTÉRIORATION")</f>
        <v>DÉTÉRIORATION</v>
      </c>
      <c r="D4775" s="1" t="s">
        <v>4963</v>
      </c>
    </row>
    <row r="4776" spans="1:10" ht="14.25" customHeight="1" x14ac:dyDescent="0.3">
      <c r="A4776" s="1" t="s">
        <v>4917</v>
      </c>
      <c r="B4776" s="1" t="str">
        <f ca="1">IFERROR(__xludf.DUMMYFUNCTION("GOOGLETRANSLATE(A4776, ""en"", ""fr"")"),"Aggraver")</f>
        <v>Aggraver</v>
      </c>
      <c r="D4776" s="1" t="s">
        <v>4963</v>
      </c>
    </row>
    <row r="4777" spans="1:10" ht="14.25" customHeight="1" x14ac:dyDescent="0.3">
      <c r="A4777" s="1" t="s">
        <v>4918</v>
      </c>
      <c r="B4777" s="1" t="str">
        <f ca="1">IFERROR(__xludf.DUMMYFUNCTION("GOOGLETRANSLATE(A4777, ""en"", ""fr"")"),"PIRE")</f>
        <v>PIRE</v>
      </c>
      <c r="D4777" s="1" t="s">
        <v>4963</v>
      </c>
    </row>
    <row r="4778" spans="1:10" ht="14.25" customHeight="1" x14ac:dyDescent="0.3">
      <c r="A4778" s="1" t="s">
        <v>4919</v>
      </c>
      <c r="B4778" s="1" t="str">
        <f ca="1">IFERROR(__xludf.DUMMYFUNCTION("GOOGLETRANSLATE(A4778, ""en"", ""fr"")"),"SANS VALEUR")</f>
        <v>SANS VALEUR</v>
      </c>
      <c r="D4778" s="1" t="s">
        <v>4963</v>
      </c>
    </row>
    <row r="4779" spans="1:10" ht="14.25" customHeight="1" x14ac:dyDescent="0.3">
      <c r="A4779" s="1" t="s">
        <v>4920</v>
      </c>
      <c r="B4779" s="1" t="str">
        <f ca="1">IFERROR(__xludf.DUMMYFUNCTION("GOOGLETRANSLATE(A4779, ""en"", ""fr"")"),"DIGNE")</f>
        <v>DIGNE</v>
      </c>
      <c r="H4779" s="1" t="s">
        <v>4964</v>
      </c>
    </row>
    <row r="4780" spans="1:10" ht="14.25" customHeight="1" x14ac:dyDescent="0.3">
      <c r="A4780" s="1" t="s">
        <v>4921</v>
      </c>
      <c r="B4780" s="1" t="str">
        <f ca="1">IFERROR(__xludf.DUMMYFUNCTION("GOOGLETRANSLATE(A4780, ""en"", ""fr"")"),"serait")</f>
        <v>serait</v>
      </c>
      <c r="J4780" s="1" t="s">
        <v>7</v>
      </c>
    </row>
    <row r="4781" spans="1:10" ht="14.25" customHeight="1" x14ac:dyDescent="0.3">
      <c r="A4781" s="1" t="s">
        <v>4922</v>
      </c>
      <c r="B4781" s="1" t="str">
        <f ca="1">IFERROR(__xludf.DUMMYFUNCTION("GOOGLETRANSLATE(A4781, ""en"", ""fr"")"),"ÉCRIRE")</f>
        <v>ÉCRIRE</v>
      </c>
      <c r="D4781" s="1" t="s">
        <v>4963</v>
      </c>
    </row>
    <row r="4782" spans="1:10" ht="14.25" customHeight="1" x14ac:dyDescent="0.3">
      <c r="A4782" s="1" t="s">
        <v>4923</v>
      </c>
      <c r="B4782" s="1" t="str">
        <f ca="1">IFERROR(__xludf.DUMMYFUNCTION("GOOGLETRANSLATE(A4782, ""en"", ""fr"")"),"Strict")</f>
        <v>Strict</v>
      </c>
      <c r="D4782" s="1" t="s">
        <v>4963</v>
      </c>
    </row>
    <row r="4783" spans="1:10" ht="14.25" customHeight="1" x14ac:dyDescent="0.3">
      <c r="A4783" s="1" t="s">
        <v>4924</v>
      </c>
      <c r="B4783" s="1" t="str">
        <f ca="1">IFERROR(__xludf.DUMMYFUNCTION("GOOGLETRANSLATE(A4783, ""en"", ""fr"")"),"RADIER")</f>
        <v>RADIER</v>
      </c>
      <c r="D4783" s="1" t="s">
        <v>4963</v>
      </c>
    </row>
    <row r="4784" spans="1:10" ht="14.25" customHeight="1" x14ac:dyDescent="0.3">
      <c r="A4784" s="1" t="s">
        <v>4925</v>
      </c>
      <c r="B4784" s="1" t="str">
        <f ca="1">IFERROR(__xludf.DUMMYFUNCTION("GOOGLETRANSLATE(A4784, ""en"", ""fr"")"),"Description")</f>
        <v>Description</v>
      </c>
      <c r="D4784" s="1" t="s">
        <v>4963</v>
      </c>
    </row>
    <row r="4785" spans="1:143" ht="14.25" customHeight="1" x14ac:dyDescent="0.3">
      <c r="A4785" s="1" t="s">
        <v>4926</v>
      </c>
      <c r="B4785" s="1" t="str">
        <f ca="1">IFERROR(__xludf.DUMMYFUNCTION("GOOGLETRANSLATE(A4785, ""en"", ""fr"")"),"FAUX")</f>
        <v>FAUX</v>
      </c>
      <c r="D4785" s="1" t="s">
        <v>4963</v>
      </c>
    </row>
    <row r="4786" spans="1:143" ht="14.25" customHeight="1" x14ac:dyDescent="0.3">
      <c r="A4786" s="1" t="s">
        <v>4927</v>
      </c>
      <c r="B4786" s="1" t="str">
        <f ca="1">IFERROR(__xludf.DUMMYFUNCTION("GOOGLETRANSLATE(A4786, ""en"", ""fr"")"),"MÉFAIT")</f>
        <v>MÉFAIT</v>
      </c>
      <c r="D4786" s="1" t="s">
        <v>4963</v>
      </c>
    </row>
    <row r="4787" spans="1:143" ht="14.25" customHeight="1" x14ac:dyDescent="0.3">
      <c r="A4787" s="1" t="s">
        <v>4928</v>
      </c>
      <c r="B4787" s="1" t="str">
        <f ca="1">IFERROR(__xludf.DUMMYFUNCTION("GOOGLETRANSLATE(A4787, ""en"", ""fr"")"),"Méfaits")</f>
        <v>Méfaits</v>
      </c>
      <c r="D4787" s="1" t="s">
        <v>4963</v>
      </c>
    </row>
    <row r="4788" spans="1:143" ht="14.25" customHeight="1" x14ac:dyDescent="0.3">
      <c r="A4788" s="1" t="s">
        <v>4929</v>
      </c>
      <c r="B4788" s="1" t="str">
        <f ca="1">IFERROR(__xludf.DUMMYFUNCTION("GOOGLETRANSLATE(A4788, ""en"", ""fr"")"),"INJUSTIFIÉ")</f>
        <v>INJUSTIFIÉ</v>
      </c>
      <c r="D4788" s="1" t="s">
        <v>4963</v>
      </c>
    </row>
    <row r="4789" spans="1:143" ht="14.25" customHeight="1" x14ac:dyDescent="0.3">
      <c r="A4789" s="1" t="s">
        <v>4930</v>
      </c>
      <c r="B4789" s="1" t="str">
        <f ca="1">IFERROR(__xludf.DUMMYFUNCTION("GOOGLETRANSLATE(A4789, ""en"", ""fr"")"),"INJUSTEMENT")</f>
        <v>INJUSTEMENT</v>
      </c>
      <c r="D4789" s="1" t="s">
        <v>4963</v>
      </c>
    </row>
    <row r="4790" spans="1:143" ht="14.25" customHeight="1" x14ac:dyDescent="0.3">
      <c r="A4790" s="1" t="s">
        <v>4931</v>
      </c>
      <c r="B4790" s="1" t="str">
        <f ca="1">IFERROR(__xludf.DUMMYFUNCTION("GOOGLETRANSLATE(A4790, ""en"", ""fr"")"),"À TORT")</f>
        <v>À TORT</v>
      </c>
      <c r="D4790" s="1" t="s">
        <v>4963</v>
      </c>
    </row>
    <row r="4791" spans="1:143" ht="14.25" customHeight="1" x14ac:dyDescent="0.3">
      <c r="A4791" s="1" t="s">
        <v>4932</v>
      </c>
      <c r="B4791" s="1" t="str">
        <f ca="1">IFERROR(__xludf.DUMMYFUNCTION("GOOGLETRANSLATE(A4791, ""en"", ""fr"")"),"WTI")</f>
        <v>WTI</v>
      </c>
      <c r="CV4791" s="1" t="s">
        <v>97</v>
      </c>
    </row>
    <row r="4792" spans="1:143" ht="14.25" customHeight="1" x14ac:dyDescent="0.3">
      <c r="A4792" s="1" t="s">
        <v>4933</v>
      </c>
      <c r="B4792" s="1" t="str">
        <f ca="1">IFERROR(__xludf.DUMMYFUNCTION("GOOGLETRANSLATE(A4792, ""en"", ""fr"")"),"OMC")</f>
        <v>OMC</v>
      </c>
      <c r="M4792" s="1" t="s">
        <v>10</v>
      </c>
    </row>
    <row r="4793" spans="1:143" ht="14.25" customHeight="1" x14ac:dyDescent="0.3">
      <c r="A4793" s="1" t="s">
        <v>4934</v>
      </c>
      <c r="B4793" s="1" t="str">
        <f ca="1">IFERROR(__xludf.DUMMYFUNCTION("GOOGLETRANSLATE(A4793, ""en"", ""fr"")"),"Ferme Wytch")</f>
        <v>Ferme Wytch</v>
      </c>
      <c r="R4793" s="1" t="s">
        <v>15</v>
      </c>
      <c r="CS4793" s="1" t="s">
        <v>94</v>
      </c>
    </row>
    <row r="4794" spans="1:143" ht="14.25" customHeight="1" x14ac:dyDescent="0.3">
      <c r="A4794" s="1" t="s">
        <v>4935</v>
      </c>
      <c r="B4794" s="1" t="str">
        <f ca="1">IFERROR(__xludf.DUMMYFUNCTION("GOOGLETRANSLATE(A4794, ""en"", ""fr"")"),"Xikomba")</f>
        <v>Xikomba</v>
      </c>
      <c r="R4794" s="1" t="s">
        <v>15</v>
      </c>
      <c r="CS4794" s="1" t="s">
        <v>94</v>
      </c>
    </row>
    <row r="4795" spans="1:143" ht="14.25" customHeight="1" x14ac:dyDescent="0.3">
      <c r="A4795" s="1" t="s">
        <v>4936</v>
      </c>
      <c r="B4795" s="1" t="str">
        <f ca="1">IFERROR(__xludf.DUMMYFUNCTION("GOOGLETRANSLATE(A4795, ""en"", ""fr"")"),"xom")</f>
        <v>xom</v>
      </c>
      <c r="BC4795" s="1" t="s">
        <v>52</v>
      </c>
      <c r="DT4795" s="1" t="s">
        <v>121</v>
      </c>
      <c r="EM4795" s="1" t="s">
        <v>140</v>
      </c>
    </row>
    <row r="4796" spans="1:143" ht="14.25" customHeight="1" x14ac:dyDescent="0.3">
      <c r="A4796" s="1" t="s">
        <v>4937</v>
      </c>
      <c r="B4796" s="1" t="str">
        <f ca="1">IFERROR(__xludf.DUMMYFUNCTION("GOOGLETRANSLATE(A4796, ""en"", ""fr"")"),"huile de yates")</f>
        <v>huile de yates</v>
      </c>
      <c r="DD4796" s="1" t="s">
        <v>105</v>
      </c>
      <c r="DF4796" s="1" t="s">
        <v>107</v>
      </c>
      <c r="DK4796" s="1" t="s">
        <v>112</v>
      </c>
    </row>
    <row r="4797" spans="1:143" ht="14.25" customHeight="1" x14ac:dyDescent="0.3">
      <c r="A4797" s="1" t="s">
        <v>4938</v>
      </c>
      <c r="B4797" s="1" t="str">
        <f ca="1">IFERROR(__xludf.DUMMYFUNCTION("GOOGLETRANSLATE(A4797, ""en"", ""fr"")"),"Année après année")</f>
        <v>Année après année</v>
      </c>
      <c r="M4797" s="1" t="s">
        <v>10</v>
      </c>
    </row>
    <row r="4798" spans="1:143" ht="14.25" customHeight="1" x14ac:dyDescent="0.3">
      <c r="A4798" s="1" t="s">
        <v>4939</v>
      </c>
      <c r="B4798" s="1" t="str">
        <f ca="1">IFERROR(__xludf.DUMMYFUNCTION("GOOGLETRANSLATE(A4798, ""en"", ""fr"")"),"raffinerie yeosu")</f>
        <v>raffinerie yeosu</v>
      </c>
      <c r="BF4798" s="1" t="s">
        <v>55</v>
      </c>
      <c r="CD4798" s="1" t="s">
        <v>79</v>
      </c>
      <c r="CU4798" s="1" t="s">
        <v>96</v>
      </c>
      <c r="DB4798" s="1" t="s">
        <v>103</v>
      </c>
    </row>
    <row r="4799" spans="1:143" ht="14.25" customHeight="1" x14ac:dyDescent="0.3">
      <c r="A4799" s="1" t="s">
        <v>4940</v>
      </c>
      <c r="B4799" s="1" t="str">
        <f ca="1">IFERROR(__xludf.DUMMYFUNCTION("GOOGLETRANSLATE(A4799, ""en"", ""fr"")"),"Oui")</f>
        <v>Oui</v>
      </c>
      <c r="J4799" s="1" t="s">
        <v>7</v>
      </c>
    </row>
    <row r="4800" spans="1:143" ht="14.25" customHeight="1" x14ac:dyDescent="0.3">
      <c r="A4800" s="1" t="s">
        <v>4941</v>
      </c>
      <c r="B4800" s="1" t="str">
        <f ca="1">IFERROR(__xludf.DUMMYFUNCTION("GOOGLETRANSLATE(A4800, ""en"", ""fr"")"),"encore")</f>
        <v>encore</v>
      </c>
      <c r="J4800" s="1" t="s">
        <v>7</v>
      </c>
    </row>
    <row r="4801" spans="1:146" ht="14.25" customHeight="1" x14ac:dyDescent="0.3">
      <c r="A4801" s="1" t="s">
        <v>4942</v>
      </c>
      <c r="B4801" s="1" t="str">
        <f ca="1">IFERROR(__xludf.DUMMYFUNCTION("GOOGLETRANSLATE(A4801, ""en"", ""fr"")"),"yibal")</f>
        <v>yibal</v>
      </c>
      <c r="BS4801" s="1" t="s">
        <v>68</v>
      </c>
      <c r="DD4801" s="1" t="s">
        <v>105</v>
      </c>
      <c r="EN4801" s="1" t="s">
        <v>141</v>
      </c>
    </row>
    <row r="4802" spans="1:146" ht="14.25" customHeight="1" x14ac:dyDescent="0.3">
      <c r="A4802" s="1" t="s">
        <v>4943</v>
      </c>
      <c r="B4802" s="1" t="str">
        <f ca="1">IFERROR(__xludf.DUMMYFUNCTION("GOOGLETRANSLATE(A4802, ""en"", ""fr"")"),"courbe de rendement")</f>
        <v>courbe de rendement</v>
      </c>
      <c r="CR4802" s="1" t="s">
        <v>93</v>
      </c>
    </row>
    <row r="4803" spans="1:146" ht="14.25" customHeight="1" x14ac:dyDescent="0.3">
      <c r="A4803" s="1" t="s">
        <v>4944</v>
      </c>
      <c r="B4803" s="1" t="str">
        <f ca="1">IFERROR(__xludf.DUMMYFUNCTION("GOOGLETRANSLATE(A4803, ""en"", ""fr"")"),"la gestion du rendement")</f>
        <v>la gestion du rendement</v>
      </c>
      <c r="M4803" s="1" t="s">
        <v>10</v>
      </c>
    </row>
    <row r="4804" spans="1:146" ht="14.25" customHeight="1" x14ac:dyDescent="0.3">
      <c r="A4804" s="1" t="s">
        <v>4945</v>
      </c>
      <c r="B4804" s="1" t="str">
        <f ca="1">IFERROR(__xludf.DUMMYFUNCTION("GOOGLETRANSLATE(A4804, ""en"", ""fr"")"),"Yoho brut")</f>
        <v>Yoho brut</v>
      </c>
      <c r="R4804" s="1" t="s">
        <v>15</v>
      </c>
      <c r="CS4804" s="1" t="s">
        <v>94</v>
      </c>
    </row>
    <row r="4805" spans="1:146" ht="14.25" customHeight="1" x14ac:dyDescent="0.3">
      <c r="A4805" s="1" t="s">
        <v>4946</v>
      </c>
      <c r="B4805" s="1" t="str">
        <f ca="1">IFERROR(__xludf.DUMMYFUNCTION("GOOGLETRANSLATE(A4805, ""en"", ""fr"")"),"toi")</f>
        <v>toi</v>
      </c>
      <c r="J4805" s="1" t="s">
        <v>7</v>
      </c>
    </row>
    <row r="4806" spans="1:146" ht="14.25" customHeight="1" x14ac:dyDescent="0.3">
      <c r="A4806" s="1" t="s">
        <v>4947</v>
      </c>
      <c r="B4806" s="1" t="str">
        <f ca="1">IFERROR(__xludf.DUMMYFUNCTION("GOOGLETRANSLATE(A4806, ""en"", ""fr"")"),"ton")</f>
        <v>ton</v>
      </c>
      <c r="J4806" s="1" t="s">
        <v>7</v>
      </c>
    </row>
    <row r="4807" spans="1:146" ht="14.25" customHeight="1" x14ac:dyDescent="0.3">
      <c r="A4807" s="1" t="s">
        <v>4948</v>
      </c>
      <c r="B4807" s="1" t="str">
        <f ca="1">IFERROR(__xludf.DUMMYFUNCTION("GOOGLETRANSLATE(A4807, ""en"", ""fr"")"),"toi-même")</f>
        <v>toi-même</v>
      </c>
      <c r="J4807" s="1" t="s">
        <v>7</v>
      </c>
    </row>
    <row r="4808" spans="1:146" ht="14.25" customHeight="1" x14ac:dyDescent="0.3">
      <c r="A4808" s="1" t="s">
        <v>4949</v>
      </c>
      <c r="B4808" s="1" t="str">
        <f ca="1">IFERROR(__xludf.DUMMYFUNCTION("GOOGLETRANSLATE(A4808, ""en"", ""fr"")"),"yupcap")</f>
        <v>yupcap</v>
      </c>
      <c r="M4808" s="1" t="s">
        <v>10</v>
      </c>
    </row>
    <row r="4809" spans="1:146" ht="14.25" customHeight="1" x14ac:dyDescent="0.3">
      <c r="A4809" s="1" t="s">
        <v>4950</v>
      </c>
      <c r="B4809" s="1" t="str">
        <f ca="1">IFERROR(__xludf.DUMMYFUNCTION("GOOGLETRANSLATE(A4809, ""en"", ""fr"")"),"zafiro")</f>
        <v>zafiro</v>
      </c>
      <c r="AU4809" s="1" t="s">
        <v>44</v>
      </c>
      <c r="DD4809" s="1" t="s">
        <v>105</v>
      </c>
      <c r="EO4809" s="1" t="s">
        <v>142</v>
      </c>
      <c r="EP4809" s="1" t="s">
        <v>143</v>
      </c>
    </row>
    <row r="4810" spans="1:146" ht="14.25" customHeight="1" x14ac:dyDescent="0.3">
      <c r="A4810" s="1" t="s">
        <v>4951</v>
      </c>
      <c r="B4810" s="1" t="str">
        <f ca="1">IFERROR(__xludf.DUMMYFUNCTION("GOOGLETRANSLATE(A4810, ""en"", ""fr"")"),"zakum")</f>
        <v>zakum</v>
      </c>
      <c r="AU4810" s="1" t="s">
        <v>44</v>
      </c>
      <c r="BS4810" s="1" t="s">
        <v>68</v>
      </c>
      <c r="CM4810" s="1" t="s">
        <v>88</v>
      </c>
      <c r="DD4810" s="1" t="s">
        <v>105</v>
      </c>
    </row>
    <row r="4811" spans="1:146" ht="14.25" customHeight="1" x14ac:dyDescent="0.3">
      <c r="A4811" s="1" t="s">
        <v>4952</v>
      </c>
      <c r="B4811" s="1" t="str">
        <f ca="1">IFERROR(__xludf.DUMMYFUNCTION("GOOGLETRANSLATE(A4811, ""en"", ""fr"")"),"Zarzaitine")</f>
        <v>Zarzaitine</v>
      </c>
      <c r="R4811" s="1" t="s">
        <v>15</v>
      </c>
      <c r="CS4811" s="1" t="s">
        <v>94</v>
      </c>
    </row>
    <row r="4812" spans="1:146" ht="14.25" customHeight="1" x14ac:dyDescent="0.3">
      <c r="A4812" s="1" t="s">
        <v>4953</v>
      </c>
      <c r="B4812" s="1" t="str">
        <f ca="1">IFERROR(__xludf.DUMMYFUNCTION("GOOGLETRANSLATE(A4812, ""en"", ""fr"")"),"raffinerie de Zawia")</f>
        <v>raffinerie de Zawia</v>
      </c>
      <c r="K4812" s="1" t="s">
        <v>8</v>
      </c>
      <c r="BF4812" s="1" t="s">
        <v>55</v>
      </c>
      <c r="CL4812" s="1" t="s">
        <v>87</v>
      </c>
      <c r="CW4812" s="1" t="s">
        <v>98</v>
      </c>
      <c r="EB4812" s="1" t="s">
        <v>129</v>
      </c>
    </row>
    <row r="4813" spans="1:146" ht="14.25" customHeight="1" x14ac:dyDescent="0.3">
      <c r="A4813" s="1" t="s">
        <v>4954</v>
      </c>
      <c r="B4813" s="1" t="str">
        <f ca="1">IFERROR(__xludf.DUMMYFUNCTION("GOOGLETRANSLATE(A4813, ""en"", ""fr"")"),"zeltenoil")</f>
        <v>zeltenoil</v>
      </c>
      <c r="AU4813" s="1" t="s">
        <v>44</v>
      </c>
      <c r="DD4813" s="1" t="s">
        <v>105</v>
      </c>
      <c r="DM4813" s="1" t="s">
        <v>114</v>
      </c>
      <c r="EO4813" s="1" t="s">
        <v>142</v>
      </c>
    </row>
    <row r="4814" spans="1:146" ht="14.25" customHeight="1" x14ac:dyDescent="0.3">
      <c r="A4814" s="1" t="s">
        <v>4955</v>
      </c>
      <c r="B4814" s="1" t="str">
        <f ca="1">IFERROR(__xludf.DUMMYFUNCTION("GOOGLETRANSLATE(A4814, ""en"", ""fr"")"),"Politique de taux d'intérêt zéro")</f>
        <v>Politique de taux d'intérêt zéro</v>
      </c>
      <c r="M4814" s="1" t="s">
        <v>10</v>
      </c>
    </row>
    <row r="4815" spans="1:146" ht="14.25" customHeight="1" x14ac:dyDescent="0.3">
      <c r="A4815" s="1" t="s">
        <v>4956</v>
      </c>
      <c r="B4815" s="1" t="str">
        <f ca="1">IFERROR(__xludf.DUMMYFUNCTION("GOOGLETRANSLATE(A4815, ""en"", ""fr"")"),"Option de coût zéro")</f>
        <v>Option de coût zéro</v>
      </c>
      <c r="CR4815" s="1" t="s">
        <v>93</v>
      </c>
    </row>
    <row r="4816" spans="1:146" ht="14.25" customHeight="1" x14ac:dyDescent="0.3">
      <c r="A4816" s="1" t="s">
        <v>4957</v>
      </c>
      <c r="B4816" s="1" t="str">
        <f ca="1">IFERROR(__xludf.DUMMYFUNCTION("GOOGLETRANSLATE(A4816, ""en"", ""fr"")"),"jeu à somme zéro")</f>
        <v>jeu à somme zéro</v>
      </c>
      <c r="M4816" s="1" t="s">
        <v>10</v>
      </c>
    </row>
    <row r="4817" spans="1:126" ht="14.25" customHeight="1" x14ac:dyDescent="0.3">
      <c r="A4817" s="1" t="s">
        <v>4958</v>
      </c>
      <c r="B4817" s="1" t="str">
        <f ca="1">IFERROR(__xludf.DUMMYFUNCTION("GOOGLETRANSLATE(A4817, ""en"", ""fr"")"),"zhanazhol")</f>
        <v>zhanazhol</v>
      </c>
      <c r="AK4817" s="1" t="s">
        <v>34</v>
      </c>
      <c r="CB4817" s="1" t="s">
        <v>77</v>
      </c>
      <c r="DD4817" s="1" t="s">
        <v>105</v>
      </c>
    </row>
    <row r="4818" spans="1:126" ht="14.25" customHeight="1" x14ac:dyDescent="0.3">
      <c r="A4818" s="1" t="s">
        <v>4959</v>
      </c>
      <c r="B4818" s="1" t="str">
        <f ca="1">IFERROR(__xludf.DUMMYFUNCTION("GOOGLETRANSLATE(A4818, ""en"", ""fr"")"),"raffinerie de Zhenhai")</f>
        <v>raffinerie de Zhenhai</v>
      </c>
      <c r="X4818" s="1" t="s">
        <v>21</v>
      </c>
      <c r="AA4818" s="1" t="s">
        <v>24</v>
      </c>
      <c r="BF4818" s="1" t="s">
        <v>55</v>
      </c>
      <c r="DB4818" s="1" t="s">
        <v>103</v>
      </c>
      <c r="DV4818" s="1" t="s">
        <v>123</v>
      </c>
    </row>
    <row r="4819" spans="1:126" ht="14.25" customHeight="1" x14ac:dyDescent="0.3">
      <c r="A4819" s="1" t="s">
        <v>4960</v>
      </c>
      <c r="B4819" s="1" t="str">
        <f ca="1">IFERROR(__xludf.DUMMYFUNCTION("GOOGLETRANSLATE(A4819, ""en"", ""fr"")"),"zhetybay")</f>
        <v>zhetybay</v>
      </c>
      <c r="AK4819" s="1" t="s">
        <v>34</v>
      </c>
      <c r="CB4819" s="1" t="s">
        <v>77</v>
      </c>
      <c r="DD4819" s="1" t="s">
        <v>105</v>
      </c>
    </row>
    <row r="4820" spans="1:126" ht="14.25" customHeight="1" x14ac:dyDescent="0.3">
      <c r="A4820" s="1" t="s">
        <v>4961</v>
      </c>
      <c r="B4820" s="1" t="str">
        <f ca="1">IFERROR(__xludf.DUMMYFUNCTION("GOOGLETRANSLATE(A4820, ""en"", ""fr"")"),"z-score")</f>
        <v>z-score</v>
      </c>
      <c r="CR4820" s="1" t="s">
        <v>93</v>
      </c>
    </row>
    <row r="4821" spans="1:126" ht="14.25" customHeight="1" x14ac:dyDescent="0.3">
      <c r="A4821" s="1" t="s">
        <v>4962</v>
      </c>
      <c r="B4821" s="1" t="str">
        <f ca="1">IFERROR(__xludf.DUMMYFUNCTION("GOOGLETRANSLATE(A4821, ""en"", ""fr"")"),"Zuwetina")</f>
        <v>Zuwetina</v>
      </c>
      <c r="R4821" s="1" t="s">
        <v>15</v>
      </c>
      <c r="CS4821" s="1" t="s">
        <v>94</v>
      </c>
    </row>
    <row r="4822" spans="1:126" ht="14.25" customHeight="1" x14ac:dyDescent="0.3">
      <c r="A4822" s="1" t="b">
        <v>0</v>
      </c>
      <c r="B4822" s="1" t="str">
        <f ca="1">IFERROR(__xludf.DUMMYFUNCTION("GOOGLETRANSLATE(A4822, ""en"", ""fr"")"),"FAUX")</f>
        <v>FAUX</v>
      </c>
      <c r="D4822" s="1" t="s">
        <v>4963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Integrated Oil Fin &amp; Econ (En)(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</dc:creator>
  <cp:lastModifiedBy>Joseph McInerney</cp:lastModifiedBy>
  <dcterms:created xsi:type="dcterms:W3CDTF">2021-07-15T15:19:59Z</dcterms:created>
  <dcterms:modified xsi:type="dcterms:W3CDTF">2024-03-14T10:34:00Z</dcterms:modified>
</cp:coreProperties>
</file>